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yrmedfs01\FondoInmobiliarioVisum\9. Visum Capital\16. Asociados\Ma. Angélica\Kit IR\"/>
    </mc:Choice>
  </mc:AlternateContent>
  <xr:revisionPtr revIDLastSave="0" documentId="13_ncr:1_{E87C8988-D592-4353-B08C-93F95FD50DF0}" xr6:coauthVersionLast="47" xr6:coauthVersionMax="47" xr10:uidLastSave="{00000000-0000-0000-0000-000000000000}"/>
  <bookViews>
    <workbookView xWindow="-110" yWindow="-110" windowWidth="19420" windowHeight="10300" activeTab="1" xr2:uid="{21131D37-BB47-4044-9EF8-ABE22885BD5C}"/>
  </bookViews>
  <sheets>
    <sheet name="Glosario" sheetId="6" r:id="rId1"/>
    <sheet name="Cifras" sheetId="7" r:id="rId2"/>
  </sheets>
  <definedNames>
    <definedName name="_xlnm._FilterDatabase" localSheetId="1" hidden="1">Cifras!#REF!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9" i="7" l="1"/>
  <c r="O122" i="7"/>
  <c r="O115" i="7"/>
  <c r="O88" i="7"/>
  <c r="O84" i="7"/>
  <c r="O76" i="7"/>
  <c r="O69" i="7"/>
  <c r="O36" i="7" l="1"/>
  <c r="O37" i="7" s="1"/>
  <c r="O35" i="7"/>
  <c r="O34" i="7"/>
  <c r="O30" i="7"/>
  <c r="O29" i="7"/>
  <c r="O27" i="7"/>
  <c r="O57" i="7"/>
  <c r="O58" i="7"/>
  <c r="O59" i="7"/>
  <c r="O60" i="7"/>
  <c r="O61" i="7"/>
  <c r="O54" i="7"/>
  <c r="O47" i="7"/>
  <c r="O22" i="7"/>
  <c r="O21" i="7"/>
  <c r="O20" i="7"/>
  <c r="Q96" i="7"/>
  <c r="R96" i="7"/>
  <c r="S96" i="7"/>
  <c r="R126" i="7" l="1"/>
  <c r="R127" i="7"/>
  <c r="R128" i="7"/>
  <c r="R125" i="7"/>
  <c r="Q126" i="7"/>
  <c r="Q127" i="7"/>
  <c r="Q128" i="7"/>
  <c r="N129" i="7"/>
  <c r="M129" i="7"/>
  <c r="L129" i="7"/>
  <c r="K129" i="7"/>
  <c r="J129" i="7"/>
  <c r="I129" i="7"/>
  <c r="H129" i="7"/>
  <c r="G129" i="7"/>
  <c r="F129" i="7"/>
  <c r="E129" i="7"/>
  <c r="D129" i="7"/>
  <c r="C129" i="7"/>
  <c r="N122" i="7"/>
  <c r="M122" i="7"/>
  <c r="L122" i="7"/>
  <c r="K122" i="7"/>
  <c r="J122" i="7"/>
  <c r="I122" i="7"/>
  <c r="H122" i="7"/>
  <c r="G122" i="7"/>
  <c r="F122" i="7"/>
  <c r="E122" i="7"/>
  <c r="D122" i="7"/>
  <c r="Q105" i="7"/>
  <c r="R97" i="7"/>
  <c r="S97" i="7"/>
  <c r="Q97" i="7"/>
  <c r="R99" i="7"/>
  <c r="R86" i="7"/>
  <c r="N47" i="7"/>
  <c r="M47" i="7"/>
  <c r="L47" i="7"/>
  <c r="K47" i="7"/>
  <c r="J47" i="7"/>
  <c r="I47" i="7"/>
  <c r="H47" i="7"/>
  <c r="G47" i="7"/>
  <c r="F47" i="7"/>
  <c r="E47" i="7"/>
  <c r="D47" i="7"/>
  <c r="N57" i="7"/>
  <c r="N58" i="7"/>
  <c r="N59" i="7"/>
  <c r="N60" i="7"/>
  <c r="M27" i="7" l="1"/>
  <c r="L27" i="7"/>
  <c r="K27" i="7"/>
  <c r="J27" i="7"/>
  <c r="I27" i="7"/>
  <c r="H27" i="7"/>
  <c r="G27" i="7"/>
  <c r="F27" i="7"/>
  <c r="E27" i="7"/>
  <c r="D27" i="7"/>
  <c r="C27" i="7"/>
  <c r="D20" i="7"/>
  <c r="D21" i="7" s="1"/>
  <c r="D22" i="7" s="1"/>
  <c r="E20" i="7"/>
  <c r="E21" i="7" s="1"/>
  <c r="E22" i="7" s="1"/>
  <c r="F20" i="7"/>
  <c r="F21" i="7" s="1"/>
  <c r="F22" i="7" s="1"/>
  <c r="G20" i="7"/>
  <c r="G21" i="7" s="1"/>
  <c r="G22" i="7" s="1"/>
  <c r="H20" i="7"/>
  <c r="H21" i="7" s="1"/>
  <c r="H22" i="7" s="1"/>
  <c r="I20" i="7"/>
  <c r="I21" i="7" s="1"/>
  <c r="I22" i="7" s="1"/>
  <c r="J20" i="7"/>
  <c r="J21" i="7" s="1"/>
  <c r="J22" i="7" s="1"/>
  <c r="K20" i="7"/>
  <c r="K21" i="7" s="1"/>
  <c r="K22" i="7" s="1"/>
  <c r="L20" i="7"/>
  <c r="L21" i="7" s="1"/>
  <c r="L22" i="7" s="1"/>
  <c r="M20" i="7"/>
  <c r="M21" i="7" s="1"/>
  <c r="M22" i="7" s="1"/>
  <c r="N20" i="7"/>
  <c r="N21" i="7" s="1"/>
  <c r="N22" i="7" s="1"/>
  <c r="R129" i="7" l="1"/>
  <c r="S129" i="7"/>
  <c r="Q129" i="7"/>
  <c r="S128" i="7"/>
  <c r="S127" i="7"/>
  <c r="S126" i="7"/>
  <c r="S125" i="7"/>
  <c r="Q125" i="7"/>
  <c r="R122" i="7"/>
  <c r="S122" i="7"/>
  <c r="Q122" i="7"/>
  <c r="C122" i="7"/>
  <c r="S121" i="7"/>
  <c r="Q121" i="7"/>
  <c r="S120" i="7"/>
  <c r="Q120" i="7"/>
  <c r="S119" i="7"/>
  <c r="Q119" i="7"/>
  <c r="S118" i="7"/>
  <c r="Q118" i="7"/>
  <c r="R115" i="7"/>
  <c r="N115" i="7"/>
  <c r="S115" i="7" s="1"/>
  <c r="K115" i="7"/>
  <c r="G115" i="7"/>
  <c r="F115" i="7"/>
  <c r="Q115" i="7" s="1"/>
  <c r="E115" i="7"/>
  <c r="D115" i="7"/>
  <c r="C115" i="7"/>
  <c r="S114" i="7"/>
  <c r="Q114" i="7"/>
  <c r="S113" i="7"/>
  <c r="Q113" i="7"/>
  <c r="S112" i="7"/>
  <c r="Q112" i="7"/>
  <c r="S111" i="7"/>
  <c r="Q111" i="7"/>
  <c r="S103" i="7"/>
  <c r="Q103" i="7"/>
  <c r="S101" i="7"/>
  <c r="R101" i="7"/>
  <c r="Q101" i="7"/>
  <c r="S99" i="7"/>
  <c r="Q99" i="7"/>
  <c r="S95" i="7"/>
  <c r="Q95" i="7"/>
  <c r="S94" i="7"/>
  <c r="Q94" i="7"/>
  <c r="R88" i="7"/>
  <c r="N88" i="7"/>
  <c r="M88" i="7"/>
  <c r="L88" i="7"/>
  <c r="K88" i="7"/>
  <c r="J88" i="7"/>
  <c r="I88" i="7"/>
  <c r="H88" i="7"/>
  <c r="G88" i="7"/>
  <c r="F88" i="7"/>
  <c r="E88" i="7"/>
  <c r="D88" i="7"/>
  <c r="C88" i="7"/>
  <c r="S86" i="7"/>
  <c r="Q86" i="7"/>
  <c r="Q88" i="7" s="1"/>
  <c r="N84" i="7"/>
  <c r="M84" i="7"/>
  <c r="L84" i="7"/>
  <c r="K84" i="7"/>
  <c r="J84" i="7"/>
  <c r="I84" i="7"/>
  <c r="H84" i="7"/>
  <c r="G84" i="7"/>
  <c r="F84" i="7"/>
  <c r="E84" i="7"/>
  <c r="D84" i="7"/>
  <c r="C84" i="7"/>
  <c r="S82" i="7"/>
  <c r="R82" i="7"/>
  <c r="R84" i="7" s="1"/>
  <c r="Q82" i="7"/>
  <c r="Q84" i="7" s="1"/>
  <c r="J80" i="7"/>
  <c r="I80" i="7"/>
  <c r="H80" i="7"/>
  <c r="G80" i="7"/>
  <c r="F80" i="7"/>
  <c r="E80" i="7"/>
  <c r="D80" i="7"/>
  <c r="C80" i="7"/>
  <c r="S78" i="7"/>
  <c r="R78" i="7"/>
  <c r="R80" i="7" s="1"/>
  <c r="Q78" i="7"/>
  <c r="Q80" i="7" s="1"/>
  <c r="N76" i="7"/>
  <c r="M76" i="7"/>
  <c r="L76" i="7"/>
  <c r="K76" i="7"/>
  <c r="J76" i="7"/>
  <c r="I76" i="7"/>
  <c r="H76" i="7"/>
  <c r="G76" i="7"/>
  <c r="S74" i="7"/>
  <c r="R74" i="7"/>
  <c r="Q74" i="7"/>
  <c r="S73" i="7"/>
  <c r="R73" i="7"/>
  <c r="Q73" i="7"/>
  <c r="S72" i="7"/>
  <c r="R72" i="7"/>
  <c r="Q72" i="7"/>
  <c r="S71" i="7"/>
  <c r="R71" i="7"/>
  <c r="F71" i="7"/>
  <c r="Q71" i="7" s="1"/>
  <c r="E71" i="7"/>
  <c r="E76" i="7" s="1"/>
  <c r="D71" i="7"/>
  <c r="D76" i="7" s="1"/>
  <c r="C71" i="7"/>
  <c r="C76" i="7" s="1"/>
  <c r="N69" i="7"/>
  <c r="M69" i="7"/>
  <c r="L69" i="7"/>
  <c r="K69" i="7"/>
  <c r="J69" i="7"/>
  <c r="I69" i="7"/>
  <c r="H69" i="7"/>
  <c r="G69" i="7"/>
  <c r="F69" i="7"/>
  <c r="E69" i="7"/>
  <c r="D69" i="7"/>
  <c r="C69" i="7"/>
  <c r="S67" i="7"/>
  <c r="R67" i="7"/>
  <c r="R69" i="7" s="1"/>
  <c r="Q67" i="7"/>
  <c r="Q69" i="7" s="1"/>
  <c r="N54" i="7"/>
  <c r="N61" i="7" s="1"/>
  <c r="M54" i="7"/>
  <c r="L54" i="7"/>
  <c r="K54" i="7"/>
  <c r="J54" i="7"/>
  <c r="I54" i="7"/>
  <c r="H54" i="7"/>
  <c r="G54" i="7"/>
  <c r="F54" i="7"/>
  <c r="E54" i="7"/>
  <c r="D54" i="7"/>
  <c r="C54" i="7"/>
  <c r="S53" i="7"/>
  <c r="R53" i="7"/>
  <c r="Q53" i="7"/>
  <c r="S52" i="7"/>
  <c r="R52" i="7"/>
  <c r="Q52" i="7"/>
  <c r="S51" i="7"/>
  <c r="R51" i="7"/>
  <c r="Q51" i="7"/>
  <c r="S50" i="7"/>
  <c r="R50" i="7"/>
  <c r="Q50" i="7"/>
  <c r="S47" i="7"/>
  <c r="C47" i="7"/>
  <c r="Q47" i="7" s="1"/>
  <c r="S46" i="7"/>
  <c r="R46" i="7"/>
  <c r="Q46" i="7"/>
  <c r="S45" i="7"/>
  <c r="R45" i="7"/>
  <c r="Q45" i="7"/>
  <c r="S44" i="7"/>
  <c r="R44" i="7"/>
  <c r="Q44" i="7"/>
  <c r="S43" i="7"/>
  <c r="R43" i="7"/>
  <c r="Q43" i="7"/>
  <c r="S36" i="7"/>
  <c r="R36" i="7"/>
  <c r="Q36" i="7"/>
  <c r="N34" i="7"/>
  <c r="M34" i="7"/>
  <c r="L34" i="7"/>
  <c r="K34" i="7"/>
  <c r="J34" i="7"/>
  <c r="I34" i="7"/>
  <c r="H34" i="7"/>
  <c r="G34" i="7"/>
  <c r="F34" i="7"/>
  <c r="E34" i="7"/>
  <c r="D34" i="7"/>
  <c r="C34" i="7"/>
  <c r="S33" i="7"/>
  <c r="R33" i="7"/>
  <c r="Q33" i="7"/>
  <c r="S32" i="7"/>
  <c r="R32" i="7"/>
  <c r="Q32" i="7"/>
  <c r="S28" i="7"/>
  <c r="R28" i="7"/>
  <c r="Q28" i="7"/>
  <c r="R27" i="7"/>
  <c r="Q27" i="7"/>
  <c r="N27" i="7"/>
  <c r="S27" i="7" s="1"/>
  <c r="S26" i="7"/>
  <c r="R26" i="7"/>
  <c r="Q26" i="7"/>
  <c r="S25" i="7"/>
  <c r="R25" i="7"/>
  <c r="Q25" i="7"/>
  <c r="S24" i="7"/>
  <c r="R24" i="7"/>
  <c r="Q24" i="7"/>
  <c r="R20" i="7"/>
  <c r="C20" i="7"/>
  <c r="Q20" i="7" s="1"/>
  <c r="S19" i="7"/>
  <c r="R19" i="7"/>
  <c r="Q19" i="7"/>
  <c r="S18" i="7"/>
  <c r="R18" i="7"/>
  <c r="Q18" i="7"/>
  <c r="S17" i="7"/>
  <c r="R17" i="7"/>
  <c r="Q17" i="7"/>
  <c r="S16" i="7"/>
  <c r="R16" i="7"/>
  <c r="Q16" i="7"/>
  <c r="S15" i="7"/>
  <c r="R15" i="7"/>
  <c r="Q15" i="7"/>
  <c r="S14" i="7"/>
  <c r="R14" i="7"/>
  <c r="Q14" i="7"/>
  <c r="S13" i="7"/>
  <c r="R13" i="7"/>
  <c r="Q13" i="7"/>
  <c r="S10" i="7"/>
  <c r="R10" i="7"/>
  <c r="Q10" i="7"/>
  <c r="S80" i="7" l="1"/>
  <c r="S84" i="7"/>
  <c r="S88" i="7"/>
  <c r="S69" i="7"/>
  <c r="R76" i="7"/>
  <c r="Q34" i="7"/>
  <c r="Q76" i="7"/>
  <c r="R54" i="7"/>
  <c r="S76" i="7"/>
  <c r="Q60" i="7"/>
  <c r="S60" i="7"/>
  <c r="S54" i="7"/>
  <c r="S58" i="7"/>
  <c r="Q57" i="7"/>
  <c r="S59" i="7"/>
  <c r="Q54" i="7"/>
  <c r="Q61" i="7" s="1"/>
  <c r="S105" i="7"/>
  <c r="R47" i="7"/>
  <c r="R57" i="7"/>
  <c r="S57" i="7"/>
  <c r="R60" i="7"/>
  <c r="Q58" i="7"/>
  <c r="R58" i="7"/>
  <c r="Q59" i="7"/>
  <c r="R59" i="7"/>
  <c r="L29" i="7"/>
  <c r="L30" i="7" s="1"/>
  <c r="K29" i="7"/>
  <c r="K30" i="7" s="1"/>
  <c r="H29" i="7"/>
  <c r="H30" i="7" s="1"/>
  <c r="D29" i="7"/>
  <c r="D30" i="7" s="1"/>
  <c r="C21" i="7"/>
  <c r="Q21" i="7" s="1"/>
  <c r="Q22" i="7" s="1"/>
  <c r="R21" i="7"/>
  <c r="R22" i="7" s="1"/>
  <c r="E29" i="7"/>
  <c r="E30" i="7" s="1"/>
  <c r="M29" i="7"/>
  <c r="M30" i="7" s="1"/>
  <c r="I29" i="7"/>
  <c r="I30" i="7" s="1"/>
  <c r="S20" i="7"/>
  <c r="R34" i="7"/>
  <c r="S34" i="7"/>
  <c r="F29" i="7"/>
  <c r="F30" i="7" s="1"/>
  <c r="N29" i="7"/>
  <c r="F76" i="7"/>
  <c r="G29" i="7"/>
  <c r="G30" i="7" s="1"/>
  <c r="J29" i="7"/>
  <c r="J30" i="7" s="1"/>
  <c r="S21" i="7"/>
  <c r="R61" i="7" l="1"/>
  <c r="S22" i="7"/>
  <c r="S61" i="7"/>
  <c r="K35" i="7"/>
  <c r="K37" i="7" s="1"/>
  <c r="S29" i="7"/>
  <c r="L35" i="7"/>
  <c r="L37" i="7" s="1"/>
  <c r="H35" i="7"/>
  <c r="H37" i="7" s="1"/>
  <c r="D35" i="7"/>
  <c r="D37" i="7" s="1"/>
  <c r="C29" i="7"/>
  <c r="C22" i="7"/>
  <c r="F35" i="7"/>
  <c r="F37" i="7" s="1"/>
  <c r="E35" i="7"/>
  <c r="E37" i="7" s="1"/>
  <c r="J35" i="7"/>
  <c r="J37" i="7" s="1"/>
  <c r="I35" i="7"/>
  <c r="I37" i="7" s="1"/>
  <c r="G35" i="7"/>
  <c r="R29" i="7"/>
  <c r="R30" i="7" s="1"/>
  <c r="J105" i="7"/>
  <c r="R105" i="7" s="1"/>
  <c r="I105" i="7"/>
  <c r="H105" i="7"/>
  <c r="G105" i="7"/>
  <c r="M35" i="7"/>
  <c r="M37" i="7" s="1"/>
  <c r="N35" i="7"/>
  <c r="N37" i="7" s="1"/>
  <c r="N30" i="7"/>
  <c r="S30" i="7" l="1"/>
  <c r="Q29" i="7"/>
  <c r="Q30" i="7" s="1"/>
  <c r="C30" i="7"/>
  <c r="S37" i="7"/>
  <c r="C35" i="7"/>
  <c r="C37" i="7" s="1"/>
  <c r="Q37" i="7" s="1"/>
  <c r="S35" i="7"/>
  <c r="R35" i="7"/>
  <c r="G37" i="7"/>
  <c r="R37" i="7" s="1"/>
  <c r="Q35" i="7" l="1"/>
</calcChain>
</file>

<file path=xl/sharedStrings.xml><?xml version="1.0" encoding="utf-8"?>
<sst xmlns="http://schemas.openxmlformats.org/spreadsheetml/2006/main" count="141" uniqueCount="106">
  <si>
    <t>1Q2023</t>
  </si>
  <si>
    <t>2Q2023</t>
  </si>
  <si>
    <t>3Q2023</t>
  </si>
  <si>
    <t>4Q2023</t>
  </si>
  <si>
    <t>1Q2024</t>
  </si>
  <si>
    <t xml:space="preserve">PyG Consolidado </t>
  </si>
  <si>
    <t>Ingresos por arrendamiento</t>
  </si>
  <si>
    <t>Gastos Operativos</t>
  </si>
  <si>
    <t>Predial</t>
  </si>
  <si>
    <t>Seguros</t>
  </si>
  <si>
    <t xml:space="preserve">Mantenimiento </t>
  </si>
  <si>
    <t>Servicios Públicos + Cuota de Admin</t>
  </si>
  <si>
    <t>Comisiones</t>
  </si>
  <si>
    <t>Honorarios + avaluos</t>
  </si>
  <si>
    <t>Otros gastos variables</t>
  </si>
  <si>
    <t>Total Gastos Operativos</t>
  </si>
  <si>
    <t>NOI</t>
  </si>
  <si>
    <t>Margen NOI</t>
  </si>
  <si>
    <t xml:space="preserve">Gastos Administración </t>
  </si>
  <si>
    <t>Comisión de Gestión</t>
  </si>
  <si>
    <t>IVA</t>
  </si>
  <si>
    <t>Comisión de Administración</t>
  </si>
  <si>
    <t>Total Gastos de Administración</t>
  </si>
  <si>
    <t>Otros Gastos Operacionales</t>
  </si>
  <si>
    <t>EBITDA</t>
  </si>
  <si>
    <t>Margen EBITDA</t>
  </si>
  <si>
    <t>Gasto Financiero Neto</t>
  </si>
  <si>
    <t>Intereses</t>
  </si>
  <si>
    <t>Ingresos de Liquidez y Financieros</t>
  </si>
  <si>
    <t>Total Gasto Financiero Neto</t>
  </si>
  <si>
    <t>FFO</t>
  </si>
  <si>
    <t>Utilidad (Perdida) por valorización y por venta de propiedad de inversión</t>
  </si>
  <si>
    <t>AFFO</t>
  </si>
  <si>
    <t>PyG por Segmento</t>
  </si>
  <si>
    <t>Industrial</t>
  </si>
  <si>
    <t>Oficina</t>
  </si>
  <si>
    <t>Retail</t>
  </si>
  <si>
    <t>Especializado</t>
  </si>
  <si>
    <t>Total Ingresos por Arrendamientos</t>
  </si>
  <si>
    <t>Oficinas</t>
  </si>
  <si>
    <t xml:space="preserve">Total NOI </t>
  </si>
  <si>
    <t>Total Margen NOI</t>
  </si>
  <si>
    <t>Principales Cifras Financieras</t>
  </si>
  <si>
    <t>Liquidez Fondo</t>
  </si>
  <si>
    <t>Total Liquidez</t>
  </si>
  <si>
    <r>
      <t xml:space="preserve">Propiedad de Inversión </t>
    </r>
    <r>
      <rPr>
        <i/>
        <sz val="11"/>
        <color theme="1"/>
        <rFont val="Calibri"/>
        <family val="2"/>
        <scheme val="minor"/>
      </rPr>
      <t xml:space="preserve">Industrial y Logistico </t>
    </r>
  </si>
  <si>
    <r>
      <t xml:space="preserve">Propiedad de Inversión </t>
    </r>
    <r>
      <rPr>
        <i/>
        <sz val="11"/>
        <color theme="1"/>
        <rFont val="Calibri"/>
        <family val="2"/>
        <scheme val="minor"/>
      </rPr>
      <t>Oficinas</t>
    </r>
  </si>
  <si>
    <r>
      <t xml:space="preserve">Propiedad de Inversión </t>
    </r>
    <r>
      <rPr>
        <i/>
        <sz val="11"/>
        <color theme="1"/>
        <rFont val="Calibri"/>
        <family val="2"/>
        <scheme val="minor"/>
      </rPr>
      <t xml:space="preserve">Retail </t>
    </r>
  </si>
  <si>
    <r>
      <t xml:space="preserve">Propiedad de Inversión </t>
    </r>
    <r>
      <rPr>
        <i/>
        <sz val="11"/>
        <color theme="1"/>
        <rFont val="Calibri"/>
        <family val="2"/>
        <scheme val="minor"/>
      </rPr>
      <t>Especializado</t>
    </r>
  </si>
  <si>
    <t>Total Propiedad de Inversión Estabilizada</t>
  </si>
  <si>
    <r>
      <t xml:space="preserve">Propiedad de Inversión </t>
    </r>
    <r>
      <rPr>
        <i/>
        <sz val="11"/>
        <color theme="1"/>
        <rFont val="Calibri"/>
        <family val="2"/>
        <scheme val="minor"/>
      </rPr>
      <t>en desarrollo</t>
    </r>
  </si>
  <si>
    <t>Total Propiedad de Inversión en Desarrollo</t>
  </si>
  <si>
    <t>Saldo de Deuda Total</t>
  </si>
  <si>
    <t>Total Saldo Deuda</t>
  </si>
  <si>
    <t>Derechos de Inversión</t>
  </si>
  <si>
    <t>Total Patrimonio</t>
  </si>
  <si>
    <t>Principales Indicadores Financieros</t>
  </si>
  <si>
    <t>Rentabilidad (E.A.)</t>
  </si>
  <si>
    <t>Rent NAV 1año</t>
  </si>
  <si>
    <t>Rent NAV YTD</t>
  </si>
  <si>
    <t>Cash Yield</t>
  </si>
  <si>
    <t>Apalancamiento</t>
  </si>
  <si>
    <t>LTV</t>
  </si>
  <si>
    <t>Valoración/ Liquidez</t>
  </si>
  <si>
    <t>% Activos avaluados</t>
  </si>
  <si>
    <t>Principales Indicadores por Segmento</t>
  </si>
  <si>
    <t>GLA</t>
  </si>
  <si>
    <t xml:space="preserve">Industrial y Logistico </t>
  </si>
  <si>
    <t>Total GLA</t>
  </si>
  <si>
    <t>Contribución Vacancia Económica</t>
  </si>
  <si>
    <t>Total Vacancia Económica</t>
  </si>
  <si>
    <t>Contribución Vacancia Fisica</t>
  </si>
  <si>
    <t>Total Vacancia Fisica</t>
  </si>
  <si>
    <t>Eventos Relevantes</t>
  </si>
  <si>
    <t>Desinversión estratégica del 51% de la participación del Fondo sobre los activos de Titán Centro Empresarial y Comercial, que alcanzaban el 32,5% del total de la copropiedad</t>
  </si>
  <si>
    <t>Glosario</t>
  </si>
  <si>
    <r>
      <rPr>
        <i/>
        <sz val="11"/>
        <color theme="1"/>
        <rFont val="Calibri"/>
        <family val="2"/>
        <scheme val="minor"/>
      </rPr>
      <t>Adjusted funds from operations</t>
    </r>
    <r>
      <rPr>
        <sz val="11"/>
        <color theme="1"/>
        <rFont val="Calibri"/>
        <family val="2"/>
        <scheme val="minor"/>
      </rPr>
      <t xml:space="preserve"> (Flujo de la Operación despues de valorización y/o utilidad(perdida) por venta de activos) </t>
    </r>
  </si>
  <si>
    <t>Distribuciones t  / Valor  Patrimonio t-1</t>
  </si>
  <si>
    <r>
      <t xml:space="preserve">Ingreso antes de intereses,impuestos,depreciación y amortización: se calcula restando al </t>
    </r>
    <r>
      <rPr>
        <i/>
        <sz val="11"/>
        <color theme="1"/>
        <rFont val="Calibri"/>
        <family val="2"/>
        <scheme val="minor"/>
      </rPr>
      <t>NOI</t>
    </r>
    <r>
      <rPr>
        <sz val="11"/>
        <color theme="1"/>
        <rFont val="Calibri"/>
        <family val="2"/>
        <scheme val="minor"/>
      </rPr>
      <t xml:space="preserve"> los gastos de administración y otros operacionales</t>
    </r>
  </si>
  <si>
    <r>
      <rPr>
        <i/>
        <sz val="11"/>
        <color theme="1"/>
        <rFont val="Calibri"/>
        <family val="2"/>
        <scheme val="minor"/>
      </rPr>
      <t>Funds from operations</t>
    </r>
    <r>
      <rPr>
        <sz val="11"/>
        <color theme="1"/>
        <rFont val="Calibri"/>
        <family val="2"/>
        <scheme val="minor"/>
      </rPr>
      <t xml:space="preserve"> (Flujo de la Operación) </t>
    </r>
  </si>
  <si>
    <r>
      <rPr>
        <i/>
        <sz val="11"/>
        <color theme="1"/>
        <rFont val="Calibri"/>
        <family val="2"/>
        <scheme val="minor"/>
      </rPr>
      <t xml:space="preserve">Gross leasable area </t>
    </r>
    <r>
      <rPr>
        <sz val="11"/>
        <color theme="1"/>
        <rFont val="Calibri"/>
        <family val="2"/>
        <scheme val="minor"/>
      </rPr>
      <t>(área arrendable en m2)</t>
    </r>
  </si>
  <si>
    <t>Loan to value: Deuda/ Propiedad de Inversión + Liquidez total</t>
  </si>
  <si>
    <t>Ingreso operativo neto:  se calcula restando al ingreso por arrendamiento de los activos los gastos de operación, mantenimiento,predial, seguro y otros no recurrentes; excluyendo ingresos/gastos financieros y gastos de administración.</t>
  </si>
  <si>
    <t>Propiedad de Inversión</t>
  </si>
  <si>
    <t xml:space="preserve">Hace referencia a las propiedades (terrenos o edificios) bajo administración del fondo </t>
  </si>
  <si>
    <t>Propiedad de Inversión en desarrollo</t>
  </si>
  <si>
    <t>Hace referencia a las propiedades (terrenos o edificios) en construcción</t>
  </si>
  <si>
    <r>
      <t xml:space="preserve">Rentabilidad anual del </t>
    </r>
    <r>
      <rPr>
        <i/>
        <sz val="11"/>
        <color theme="1"/>
        <rFont val="Calibri"/>
        <family val="2"/>
        <scheme val="minor"/>
      </rPr>
      <t xml:space="preserve">Net Asset Value (NAV) </t>
    </r>
    <r>
      <rPr>
        <sz val="11"/>
        <color theme="1"/>
        <rFont val="Calibri"/>
        <family val="2"/>
        <scheme val="minor"/>
      </rPr>
      <t>o valor patrimonial del fondo</t>
    </r>
  </si>
  <si>
    <t>Rentabilidad Year to date (YTD) o año corrido del Net Asset Value (NAV) o valor patrimonial del fondo</t>
  </si>
  <si>
    <t>Porcentaje de activos al que se le realizó y registró avaluos en el periodo</t>
  </si>
  <si>
    <t>Costo de la Deuda Ponderado (Kd)</t>
  </si>
  <si>
    <t>Cap Rate LTM</t>
  </si>
  <si>
    <r>
      <t xml:space="preserve">Aporte en especie del 26,5% sobre los activos </t>
    </r>
    <r>
      <rPr>
        <i/>
        <sz val="11"/>
        <color theme="1"/>
        <rFont val="Calibri"/>
        <family val="2"/>
        <scheme val="minor"/>
      </rPr>
      <t>de student hosing</t>
    </r>
  </si>
  <si>
    <t>NOI t  / Valor Propiedad de Inversión  t-1</t>
  </si>
  <si>
    <t>2Q2024</t>
  </si>
  <si>
    <t>1Q2022</t>
  </si>
  <si>
    <t>2Q2022</t>
  </si>
  <si>
    <t>3Q2022</t>
  </si>
  <si>
    <t>4Q2022</t>
  </si>
  <si>
    <t>Distribuciones</t>
  </si>
  <si>
    <t>3Q2024</t>
  </si>
  <si>
    <t>Evolución Información Histórica FICI Visum Rentas Inmobiliarias</t>
  </si>
  <si>
    <t xml:space="preserve">Cifras en COP Millones </t>
  </si>
  <si>
    <t>4Q2024</t>
  </si>
  <si>
    <t>Desinversión estratégica del 100% de los derechos fiduciarios del Fondo en el Fideicomiso P.A. Lógika II, que corresponden al 49% del total de la composición del PA</t>
  </si>
  <si>
    <t>1Q2025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</si>
</sst>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66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i/>
      <sz val="11"/>
      <color theme="1" tint="4.9989318521683403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00005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DF0F3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86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5" borderId="0" xfId="2" applyFont="1" applyFill="1" applyAlignment="1">
      <alignment horizontal="center"/>
    </xf>
    <xf numFmtId="0" fontId="2" fillId="5" borderId="0" xfId="2" applyFont="1" applyFill="1"/>
    <xf numFmtId="0" fontId="7" fillId="5" borderId="0" xfId="0" applyFont="1" applyFill="1"/>
    <xf numFmtId="0" fontId="2" fillId="0" borderId="0" xfId="0" applyFont="1" applyAlignment="1">
      <alignment horizontal="center"/>
    </xf>
    <xf numFmtId="0" fontId="5" fillId="0" borderId="0" xfId="0" applyFont="1"/>
    <xf numFmtId="0" fontId="8" fillId="5" borderId="0" xfId="2" applyFont="1" applyFill="1" applyAlignment="1">
      <alignment horizontal="center"/>
    </xf>
    <xf numFmtId="0" fontId="8" fillId="5" borderId="0" xfId="2" applyFont="1" applyFill="1" applyBorder="1"/>
    <xf numFmtId="0" fontId="8" fillId="0" borderId="0" xfId="0" applyFont="1" applyAlignment="1">
      <alignment horizontal="center"/>
    </xf>
    <xf numFmtId="0" fontId="4" fillId="7" borderId="0" xfId="0" applyFont="1" applyFill="1"/>
    <xf numFmtId="3" fontId="4" fillId="7" borderId="0" xfId="0" applyNumberFormat="1" applyFont="1" applyFill="1" applyAlignment="1">
      <alignment horizontal="center"/>
    </xf>
    <xf numFmtId="0" fontId="4" fillId="0" borderId="0" xfId="0" applyFont="1"/>
    <xf numFmtId="3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 indent="1"/>
    </xf>
    <xf numFmtId="3" fontId="4" fillId="0" borderId="0" xfId="0" applyNumberFormat="1" applyFont="1" applyAlignment="1">
      <alignment horizontal="center" vertical="center"/>
    </xf>
    <xf numFmtId="0" fontId="4" fillId="7" borderId="0" xfId="3" applyFont="1" applyFill="1"/>
    <xf numFmtId="3" fontId="4" fillId="7" borderId="0" xfId="3" applyNumberFormat="1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9" fontId="10" fillId="0" borderId="0" xfId="1" applyFont="1" applyFill="1" applyAlignment="1">
      <alignment horizontal="center"/>
    </xf>
    <xf numFmtId="3" fontId="0" fillId="0" borderId="0" xfId="0" applyNumberFormat="1" applyAlignment="1">
      <alignment horizontal="center"/>
    </xf>
    <xf numFmtId="164" fontId="11" fillId="0" borderId="0" xfId="1" applyNumberFormat="1" applyFont="1" applyFill="1" applyAlignment="1">
      <alignment horizontal="center"/>
    </xf>
    <xf numFmtId="10" fontId="0" fillId="0" borderId="0" xfId="1" applyNumberFormat="1" applyFont="1" applyAlignment="1">
      <alignment horizontal="center"/>
    </xf>
    <xf numFmtId="0" fontId="12" fillId="0" borderId="0" xfId="0" applyFont="1"/>
    <xf numFmtId="0" fontId="13" fillId="6" borderId="0" xfId="2" applyFont="1" applyFill="1" applyAlignment="1">
      <alignment horizontal="center"/>
    </xf>
    <xf numFmtId="0" fontId="13" fillId="6" borderId="0" xfId="2" applyFont="1" applyFill="1"/>
    <xf numFmtId="0" fontId="4" fillId="8" borderId="0" xfId="4" applyFont="1" applyFill="1"/>
    <xf numFmtId="3" fontId="4" fillId="0" borderId="0" xfId="4" applyNumberFormat="1" applyFont="1" applyFill="1" applyAlignment="1">
      <alignment horizontal="center"/>
    </xf>
    <xf numFmtId="0" fontId="4" fillId="0" borderId="0" xfId="4" applyFont="1" applyFill="1"/>
    <xf numFmtId="0" fontId="4" fillId="4" borderId="0" xfId="4" applyFont="1"/>
    <xf numFmtId="3" fontId="4" fillId="4" borderId="0" xfId="4" applyNumberFormat="1" applyFont="1" applyAlignment="1">
      <alignment horizontal="center"/>
    </xf>
    <xf numFmtId="0" fontId="14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4" borderId="0" xfId="4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" fillId="9" borderId="0" xfId="0" applyFont="1" applyFill="1" applyAlignment="1">
      <alignment horizontal="center"/>
    </xf>
    <xf numFmtId="3" fontId="0" fillId="0" borderId="0" xfId="0" applyNumberFormat="1"/>
    <xf numFmtId="3" fontId="4" fillId="7" borderId="0" xfId="0" applyNumberFormat="1" applyFont="1" applyFill="1"/>
    <xf numFmtId="0" fontId="0" fillId="7" borderId="0" xfId="0" applyFill="1"/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4" fontId="0" fillId="0" borderId="0" xfId="0" applyNumberFormat="1"/>
    <xf numFmtId="41" fontId="0" fillId="0" borderId="0" xfId="0" applyNumberFormat="1" applyAlignment="1">
      <alignment horizontal="center"/>
    </xf>
    <xf numFmtId="4" fontId="4" fillId="7" borderId="0" xfId="0" applyNumberFormat="1" applyFont="1" applyFill="1"/>
    <xf numFmtId="0" fontId="15" fillId="0" borderId="0" xfId="0" applyFont="1"/>
    <xf numFmtId="3" fontId="3" fillId="0" borderId="0" xfId="0" applyNumberFormat="1" applyFont="1"/>
    <xf numFmtId="4" fontId="4" fillId="0" borderId="0" xfId="0" applyNumberFormat="1" applyFont="1"/>
    <xf numFmtId="10" fontId="16" fillId="7" borderId="0" xfId="1" applyNumberFormat="1" applyFont="1" applyFill="1" applyBorder="1" applyAlignment="1">
      <alignment horizontal="center"/>
    </xf>
    <xf numFmtId="10" fontId="0" fillId="7" borderId="0" xfId="1" applyNumberFormat="1" applyFont="1" applyFill="1" applyAlignment="1">
      <alignment horizontal="center"/>
    </xf>
    <xf numFmtId="10" fontId="0" fillId="0" borderId="0" xfId="0" applyNumberFormat="1" applyAlignment="1">
      <alignment horizontal="center"/>
    </xf>
    <xf numFmtId="0" fontId="0" fillId="7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10" fontId="4" fillId="4" borderId="0" xfId="1" applyNumberFormat="1" applyFont="1" applyFill="1"/>
    <xf numFmtId="10" fontId="4" fillId="4" borderId="0" xfId="1" applyNumberFormat="1" applyFont="1" applyFill="1" applyAlignment="1">
      <alignment horizontal="center"/>
    </xf>
    <xf numFmtId="10" fontId="9" fillId="0" borderId="0" xfId="1" applyNumberFormat="1" applyFont="1" applyAlignment="1">
      <alignment horizontal="center"/>
    </xf>
    <xf numFmtId="0" fontId="0" fillId="0" borderId="1" xfId="0" applyBorder="1"/>
    <xf numFmtId="0" fontId="2" fillId="5" borderId="0" xfId="0" applyFont="1" applyFill="1" applyAlignment="1">
      <alignment horizontal="center"/>
    </xf>
    <xf numFmtId="41" fontId="17" fillId="0" borderId="0" xfId="0" applyNumberFormat="1" applyFont="1"/>
    <xf numFmtId="41" fontId="18" fillId="0" borderId="0" xfId="0" applyNumberFormat="1" applyFont="1"/>
    <xf numFmtId="0" fontId="6" fillId="5" borderId="0" xfId="0" applyFont="1" applyFill="1" applyAlignment="1">
      <alignment vertical="center"/>
    </xf>
    <xf numFmtId="0" fontId="0" fillId="5" borderId="0" xfId="0" applyFill="1"/>
    <xf numFmtId="0" fontId="19" fillId="10" borderId="0" xfId="0" applyFont="1" applyFill="1" applyAlignment="1">
      <alignment horizontal="center"/>
    </xf>
    <xf numFmtId="0" fontId="2" fillId="6" borderId="0" xfId="2" applyFont="1" applyFill="1" applyAlignment="1">
      <alignment horizontal="center"/>
    </xf>
    <xf numFmtId="0" fontId="0" fillId="0" borderId="2" xfId="0" applyBorder="1"/>
    <xf numFmtId="0" fontId="2" fillId="11" borderId="2" xfId="2" applyFont="1" applyFill="1" applyBorder="1" applyAlignment="1">
      <alignment horizontal="center"/>
    </xf>
    <xf numFmtId="0" fontId="2" fillId="11" borderId="1" xfId="2" applyFont="1" applyFill="1" applyBorder="1" applyAlignment="1">
      <alignment horizontal="center"/>
    </xf>
    <xf numFmtId="0" fontId="8" fillId="5" borderId="2" xfId="2" applyFont="1" applyFill="1" applyBorder="1"/>
    <xf numFmtId="0" fontId="8" fillId="5" borderId="1" xfId="2" applyFont="1" applyFill="1" applyBorder="1"/>
    <xf numFmtId="3" fontId="4" fillId="7" borderId="2" xfId="0" applyNumberFormat="1" applyFont="1" applyFill="1" applyBorder="1" applyAlignment="1">
      <alignment horizontal="center"/>
    </xf>
    <xf numFmtId="3" fontId="4" fillId="7" borderId="1" xfId="0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7" borderId="2" xfId="3" applyNumberFormat="1" applyFont="1" applyFill="1" applyBorder="1" applyAlignment="1">
      <alignment horizontal="center"/>
    </xf>
    <xf numFmtId="3" fontId="4" fillId="7" borderId="1" xfId="3" applyNumberFormat="1" applyFont="1" applyFill="1" applyBorder="1" applyAlignment="1">
      <alignment horizontal="center"/>
    </xf>
    <xf numFmtId="9" fontId="10" fillId="0" borderId="2" xfId="1" applyFont="1" applyFill="1" applyBorder="1" applyAlignment="1">
      <alignment horizontal="center"/>
    </xf>
    <xf numFmtId="9" fontId="10" fillId="0" borderId="1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0" borderId="1" xfId="1" applyNumberFormat="1" applyFont="1" applyFill="1" applyBorder="1" applyAlignment="1">
      <alignment horizontal="center"/>
    </xf>
    <xf numFmtId="0" fontId="13" fillId="6" borderId="2" xfId="2" applyFont="1" applyFill="1" applyBorder="1"/>
    <xf numFmtId="0" fontId="13" fillId="6" borderId="1" xfId="2" applyFont="1" applyFill="1" applyBorder="1"/>
    <xf numFmtId="0" fontId="4" fillId="0" borderId="2" xfId="4" applyFont="1" applyFill="1" applyBorder="1"/>
    <xf numFmtId="0" fontId="4" fillId="0" borderId="1" xfId="4" applyFont="1" applyFill="1" applyBorder="1"/>
    <xf numFmtId="3" fontId="4" fillId="4" borderId="1" xfId="4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4" fillId="0" borderId="1" xfId="4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4" fillId="4" borderId="1" xfId="4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7" borderId="2" xfId="0" applyFill="1" applyBorder="1"/>
    <xf numFmtId="0" fontId="2" fillId="9" borderId="2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0" fillId="7" borderId="1" xfId="0" applyFill="1" applyBorder="1"/>
    <xf numFmtId="10" fontId="0" fillId="0" borderId="1" xfId="1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7" borderId="2" xfId="0" applyFill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3" fontId="4" fillId="4" borderId="2" xfId="4" applyNumberFormat="1" applyFont="1" applyBorder="1" applyAlignment="1">
      <alignment horizontal="center"/>
    </xf>
    <xf numFmtId="10" fontId="4" fillId="4" borderId="2" xfId="1" applyNumberFormat="1" applyFont="1" applyFill="1" applyBorder="1" applyAlignment="1">
      <alignment horizontal="center"/>
    </xf>
    <xf numFmtId="0" fontId="0" fillId="9" borderId="0" xfId="0" applyFill="1"/>
    <xf numFmtId="0" fontId="0" fillId="9" borderId="2" xfId="0" applyFill="1" applyBorder="1"/>
    <xf numFmtId="0" fontId="0" fillId="9" borderId="1" xfId="0" applyFill="1" applyBorder="1"/>
    <xf numFmtId="164" fontId="0" fillId="0" borderId="2" xfId="1" applyNumberFormat="1" applyFont="1" applyBorder="1" applyAlignment="1">
      <alignment horizontal="center"/>
    </xf>
    <xf numFmtId="164" fontId="4" fillId="4" borderId="2" xfId="4" applyNumberFormat="1" applyFont="1" applyBorder="1" applyAlignment="1">
      <alignment horizontal="center"/>
    </xf>
    <xf numFmtId="166" fontId="0" fillId="0" borderId="0" xfId="6" applyNumberFormat="1" applyFont="1" applyAlignment="1">
      <alignment horizontal="center" vertical="center"/>
    </xf>
    <xf numFmtId="3" fontId="4" fillId="7" borderId="0" xfId="6" applyNumberFormat="1" applyFont="1" applyFill="1" applyAlignment="1">
      <alignment horizontal="center"/>
    </xf>
    <xf numFmtId="3" fontId="0" fillId="0" borderId="0" xfId="6" applyNumberFormat="1" applyFont="1" applyAlignment="1">
      <alignment horizontal="center"/>
    </xf>
    <xf numFmtId="3" fontId="0" fillId="0" borderId="0" xfId="6" applyNumberFormat="1" applyFont="1" applyAlignment="1">
      <alignment horizontal="center" vertical="center"/>
    </xf>
    <xf numFmtId="166" fontId="4" fillId="7" borderId="0" xfId="6" applyNumberFormat="1" applyFont="1" applyFill="1" applyAlignment="1">
      <alignment horizontal="center"/>
    </xf>
    <xf numFmtId="0" fontId="0" fillId="12" borderId="0" xfId="0" applyFill="1"/>
    <xf numFmtId="0" fontId="23" fillId="5" borderId="0" xfId="2" applyFont="1" applyFill="1" applyAlignment="1">
      <alignment horizont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 indent="1"/>
    </xf>
    <xf numFmtId="165" fontId="4" fillId="7" borderId="0" xfId="6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4" fillId="7" borderId="0" xfId="3" applyNumberFormat="1" applyFont="1" applyFill="1" applyAlignment="1">
      <alignment horizontal="center" vertical="center"/>
    </xf>
    <xf numFmtId="0" fontId="2" fillId="11" borderId="0" xfId="2" applyFont="1" applyFill="1" applyBorder="1" applyAlignment="1">
      <alignment horizontal="center"/>
    </xf>
    <xf numFmtId="3" fontId="4" fillId="7" borderId="0" xfId="3" applyNumberFormat="1" applyFont="1" applyFill="1" applyBorder="1" applyAlignment="1">
      <alignment horizontal="center"/>
    </xf>
    <xf numFmtId="9" fontId="10" fillId="0" borderId="0" xfId="1" applyFont="1" applyFill="1" applyBorder="1" applyAlignment="1">
      <alignment horizontal="center"/>
    </xf>
    <xf numFmtId="164" fontId="11" fillId="0" borderId="0" xfId="1" applyNumberFormat="1" applyFont="1" applyFill="1" applyBorder="1" applyAlignment="1">
      <alignment horizontal="center"/>
    </xf>
    <xf numFmtId="0" fontId="13" fillId="6" borderId="0" xfId="2" applyFont="1" applyFill="1" applyBorder="1"/>
    <xf numFmtId="0" fontId="4" fillId="0" borderId="0" xfId="4" applyFont="1" applyFill="1" applyBorder="1"/>
    <xf numFmtId="3" fontId="4" fillId="4" borderId="0" xfId="4" applyNumberFormat="1" applyFont="1" applyBorder="1" applyAlignment="1">
      <alignment horizontal="center"/>
    </xf>
    <xf numFmtId="3" fontId="4" fillId="0" borderId="0" xfId="4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4" fillId="4" borderId="0" xfId="4" applyNumberFormat="1" applyFon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0" fontId="20" fillId="5" borderId="0" xfId="0" applyFont="1" applyFill="1" applyAlignment="1">
      <alignment vertical="center"/>
    </xf>
    <xf numFmtId="9" fontId="10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11" fillId="0" borderId="0" xfId="1" applyNumberFormat="1" applyFont="1" applyFill="1" applyAlignment="1">
      <alignment horizontal="center" vertical="center"/>
    </xf>
    <xf numFmtId="3" fontId="4" fillId="7" borderId="0" xfId="0" applyNumberFormat="1" applyFont="1" applyFill="1" applyAlignment="1">
      <alignment horizontal="center" vertical="center"/>
    </xf>
    <xf numFmtId="165" fontId="0" fillId="0" borderId="0" xfId="6" applyNumberFormat="1" applyFont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10" fontId="0" fillId="0" borderId="0" xfId="0" applyNumberFormat="1"/>
    <xf numFmtId="0" fontId="20" fillId="5" borderId="1" xfId="0" applyFont="1" applyFill="1" applyBorder="1" applyAlignment="1">
      <alignment vertical="center"/>
    </xf>
    <xf numFmtId="0" fontId="21" fillId="13" borderId="3" xfId="2" applyFont="1" applyFill="1" applyBorder="1"/>
    <xf numFmtId="0" fontId="21" fillId="13" borderId="3" xfId="2" applyFont="1" applyFill="1" applyBorder="1" applyAlignment="1">
      <alignment horizontal="center"/>
    </xf>
    <xf numFmtId="0" fontId="22" fillId="13" borderId="3" xfId="0" applyFont="1" applyFill="1" applyBorder="1"/>
    <xf numFmtId="0" fontId="8" fillId="13" borderId="3" xfId="2" applyFont="1" applyFill="1" applyBorder="1"/>
    <xf numFmtId="0" fontId="8" fillId="13" borderId="3" xfId="2" applyFont="1" applyFill="1" applyBorder="1" applyAlignment="1">
      <alignment horizontal="center"/>
    </xf>
    <xf numFmtId="0" fontId="0" fillId="13" borderId="0" xfId="0" applyFill="1"/>
    <xf numFmtId="0" fontId="24" fillId="5" borderId="0" xfId="0" applyFont="1" applyFill="1" applyAlignment="1">
      <alignment vertical="center"/>
    </xf>
    <xf numFmtId="164" fontId="0" fillId="0" borderId="0" xfId="1" applyNumberFormat="1" applyFont="1"/>
    <xf numFmtId="41" fontId="17" fillId="0" borderId="0" xfId="0" applyNumberFormat="1" applyFont="1" applyAlignment="1">
      <alignment horizontal="center"/>
    </xf>
    <xf numFmtId="3" fontId="4" fillId="0" borderId="0" xfId="6" applyNumberFormat="1" applyFont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21" fillId="13" borderId="3" xfId="2" applyFont="1" applyFill="1" applyBorder="1" applyAlignment="1">
      <alignment horizontal="center"/>
    </xf>
    <xf numFmtId="17" fontId="4" fillId="0" borderId="0" xfId="0" applyNumberFormat="1" applyFont="1" applyAlignment="1">
      <alignment horizontal="right" vertical="center" indent="1"/>
    </xf>
    <xf numFmtId="0" fontId="0" fillId="0" borderId="0" xfId="0" applyAlignment="1">
      <alignment horizontal="left" vertical="center" wrapText="1"/>
    </xf>
    <xf numFmtId="17" fontId="4" fillId="12" borderId="0" xfId="0" applyNumberFormat="1" applyFont="1" applyFill="1" applyAlignment="1">
      <alignment horizontal="right" vertical="center" indent="1"/>
    </xf>
    <xf numFmtId="0" fontId="0" fillId="12" borderId="0" xfId="0" applyFill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12" borderId="0" xfId="0" applyFill="1" applyAlignment="1">
      <alignment horizontal="left" wrapText="1"/>
    </xf>
    <xf numFmtId="0" fontId="4" fillId="12" borderId="0" xfId="0" applyFont="1" applyFill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0" fillId="1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 wrapText="1" indent="1"/>
    </xf>
    <xf numFmtId="0" fontId="8" fillId="5" borderId="0" xfId="2" applyFont="1" applyFill="1" applyAlignment="1">
      <alignment horizontal="left"/>
    </xf>
    <xf numFmtId="0" fontId="8" fillId="6" borderId="0" xfId="2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20" fillId="5" borderId="0" xfId="0" applyFont="1" applyFill="1" applyAlignment="1">
      <alignment horizontal="center" vertical="center"/>
    </xf>
    <xf numFmtId="0" fontId="8" fillId="5" borderId="0" xfId="2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165" fontId="4" fillId="7" borderId="0" xfId="6" applyNumberFormat="1" applyFont="1" applyFill="1" applyAlignment="1">
      <alignment vertical="center"/>
    </xf>
    <xf numFmtId="165" fontId="0" fillId="0" borderId="0" xfId="6" applyNumberFormat="1" applyFont="1" applyBorder="1" applyAlignment="1">
      <alignment horizontal="left" vertical="center"/>
    </xf>
  </cellXfs>
  <cellStyles count="8">
    <cellStyle name="20% - Énfasis1" xfId="3" builtinId="30"/>
    <cellStyle name="20% - Énfasis5" xfId="4" builtinId="46"/>
    <cellStyle name="Énfasis1" xfId="2" builtinId="29"/>
    <cellStyle name="Millares" xfId="6" builtinId="3"/>
    <cellStyle name="Normal" xfId="0" builtinId="0"/>
    <cellStyle name="Normal 4" xfId="7" xr:uid="{9A52541C-48BF-4093-A326-AB86C0CCC6B0}"/>
    <cellStyle name="Normal 82" xfId="5" xr:uid="{916237B8-17C1-476A-B51F-6F3907108AD4}"/>
    <cellStyle name="Porcentaje" xfId="1" builtinId="5"/>
  </cellStyles>
  <dxfs count="0"/>
  <tableStyles count="0" defaultTableStyle="TableStyleMedium2" defaultPivotStyle="PivotStyleLight16"/>
  <colors>
    <mruColors>
      <color rgb="FFED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485821</xdr:colOff>
      <xdr:row>0</xdr:row>
      <xdr:rowOff>79529</xdr:rowOff>
    </xdr:from>
    <xdr:ext cx="1181100" cy="405467"/>
    <xdr:pic>
      <xdr:nvPicPr>
        <xdr:cNvPr id="3" name="Gráfico 2">
          <a:extLst>
            <a:ext uri="{FF2B5EF4-FFF2-40B4-BE49-F238E27FC236}">
              <a16:creationId xmlns:a16="http://schemas.microsoft.com/office/drawing/2014/main" id="{443174CB-A4DE-44A9-AA30-16CF55495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85821" y="79529"/>
          <a:ext cx="1181100" cy="4054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326091</xdr:colOff>
      <xdr:row>0</xdr:row>
      <xdr:rowOff>101939</xdr:rowOff>
    </xdr:from>
    <xdr:ext cx="1181100" cy="405467"/>
    <xdr:pic>
      <xdr:nvPicPr>
        <xdr:cNvPr id="2" name="Gráfico 1">
          <a:extLst>
            <a:ext uri="{FF2B5EF4-FFF2-40B4-BE49-F238E27FC236}">
              <a16:creationId xmlns:a16="http://schemas.microsoft.com/office/drawing/2014/main" id="{0CEE1B91-9F18-42FD-8863-F5835825F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6091" y="105114"/>
          <a:ext cx="1181100" cy="4054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FEC07-1BD8-4936-A284-39A5AA6E5880}">
  <sheetPr>
    <tabColor theme="8" tint="0.79998168889431442"/>
  </sheetPr>
  <dimension ref="A1:Q40"/>
  <sheetViews>
    <sheetView showGridLines="0" topLeftCell="A22" zoomScale="85" zoomScaleNormal="85" workbookViewId="0">
      <selection activeCell="C39" sqref="C39:XFD40"/>
    </sheetView>
  </sheetViews>
  <sheetFormatPr baseColWidth="10" defaultColWidth="0" defaultRowHeight="14.5" zeroHeight="1" x14ac:dyDescent="0.35"/>
  <cols>
    <col min="1" max="2" width="18" customWidth="1"/>
    <col min="3" max="15" width="11.6328125" customWidth="1"/>
    <col min="16" max="17" width="5.54296875" customWidth="1"/>
    <col min="18" max="16384" width="10.90625" hidden="1"/>
  </cols>
  <sheetData>
    <row r="1" spans="1:17" ht="12.5" customHeight="1" x14ac:dyDescent="0.35">
      <c r="A1" s="63"/>
      <c r="B1" s="62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17" ht="17" customHeight="1" x14ac:dyDescent="0.35">
      <c r="A2" s="62"/>
      <c r="B2" s="62"/>
      <c r="C2" s="157"/>
      <c r="D2" s="157"/>
      <c r="E2" s="157"/>
      <c r="F2" s="157"/>
      <c r="G2" s="157"/>
      <c r="H2" s="157"/>
      <c r="I2" s="157" t="s">
        <v>75</v>
      </c>
      <c r="J2" s="157"/>
      <c r="K2" s="157"/>
      <c r="L2" s="157"/>
      <c r="M2" s="157"/>
      <c r="N2" s="157"/>
      <c r="O2" s="157"/>
      <c r="P2" s="157"/>
      <c r="Q2" s="157"/>
    </row>
    <row r="3" spans="1:17" ht="12.5" customHeight="1" x14ac:dyDescent="0.35">
      <c r="A3" s="62"/>
      <c r="B3" s="62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</row>
    <row r="4" spans="1:17" ht="15" customHeight="1" x14ac:dyDescent="0.35">
      <c r="A4" s="1"/>
      <c r="B4" s="1"/>
    </row>
    <row r="5" spans="1:17" x14ac:dyDescent="0.35"/>
    <row r="6" spans="1:17" s="153" customFormat="1" ht="16" customHeight="1" thickBot="1" x14ac:dyDescent="0.5">
      <c r="A6" s="166" t="s">
        <v>75</v>
      </c>
      <c r="B6" s="166"/>
      <c r="C6" s="151"/>
      <c r="D6" s="151"/>
      <c r="E6" s="151"/>
      <c r="F6" s="151"/>
      <c r="G6" s="152"/>
      <c r="H6" s="152"/>
      <c r="I6" s="152"/>
      <c r="J6" s="152"/>
      <c r="K6" s="152"/>
      <c r="L6" s="151"/>
      <c r="M6" s="151"/>
      <c r="N6" s="151"/>
      <c r="O6" s="151"/>
      <c r="P6" s="151"/>
      <c r="Q6" s="151"/>
    </row>
    <row r="7" spans="1:17" ht="15" thickTop="1" x14ac:dyDescent="0.35">
      <c r="A7" s="174" t="s">
        <v>32</v>
      </c>
      <c r="B7" s="174"/>
      <c r="C7" s="176" t="s">
        <v>76</v>
      </c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</row>
    <row r="8" spans="1:17" x14ac:dyDescent="0.35">
      <c r="A8" s="174"/>
      <c r="B8" s="174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</row>
    <row r="9" spans="1:17" s="122" customFormat="1" ht="14.5" customHeight="1" x14ac:dyDescent="0.35">
      <c r="A9" s="169" t="s">
        <v>60</v>
      </c>
      <c r="B9" s="169"/>
      <c r="C9" s="170" t="s">
        <v>77</v>
      </c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</row>
    <row r="10" spans="1:17" s="122" customFormat="1" x14ac:dyDescent="0.35">
      <c r="A10" s="169"/>
      <c r="B10" s="169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</row>
    <row r="11" spans="1:17" x14ac:dyDescent="0.35">
      <c r="A11" s="174" t="s">
        <v>91</v>
      </c>
      <c r="B11" s="174"/>
      <c r="C11" s="176" t="s">
        <v>93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</row>
    <row r="12" spans="1:17" x14ac:dyDescent="0.35">
      <c r="A12" s="174"/>
      <c r="B12" s="174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</row>
    <row r="13" spans="1:17" s="122" customFormat="1" ht="14.5" customHeight="1" x14ac:dyDescent="0.35">
      <c r="A13" s="173" t="s">
        <v>24</v>
      </c>
      <c r="B13" s="173"/>
      <c r="C13" s="170" t="s">
        <v>78</v>
      </c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</row>
    <row r="14" spans="1:17" s="122" customFormat="1" x14ac:dyDescent="0.35">
      <c r="A14" s="173"/>
      <c r="B14" s="173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</row>
    <row r="15" spans="1:17" x14ac:dyDescent="0.35">
      <c r="A15" s="174" t="s">
        <v>30</v>
      </c>
      <c r="B15" s="174"/>
      <c r="C15" s="176" t="s">
        <v>79</v>
      </c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</row>
    <row r="16" spans="1:17" x14ac:dyDescent="0.35">
      <c r="A16" s="174"/>
      <c r="B16" s="17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</row>
    <row r="17" spans="1:17" s="122" customFormat="1" x14ac:dyDescent="0.35">
      <c r="A17" s="173" t="s">
        <v>66</v>
      </c>
      <c r="B17" s="173"/>
      <c r="C17" s="175" t="s">
        <v>80</v>
      </c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</row>
    <row r="18" spans="1:17" s="122" customFormat="1" x14ac:dyDescent="0.35">
      <c r="A18" s="173"/>
      <c r="B18" s="173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</row>
    <row r="19" spans="1:17" x14ac:dyDescent="0.35">
      <c r="A19" s="174" t="s">
        <v>62</v>
      </c>
      <c r="B19" s="174"/>
      <c r="C19" s="171" t="s">
        <v>81</v>
      </c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</row>
    <row r="20" spans="1:17" x14ac:dyDescent="0.35">
      <c r="A20" s="174"/>
      <c r="B20" s="174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</row>
    <row r="21" spans="1:17" s="122" customFormat="1" ht="14.5" customHeight="1" x14ac:dyDescent="0.35">
      <c r="A21" s="173" t="s">
        <v>16</v>
      </c>
      <c r="B21" s="173"/>
      <c r="C21" s="172" t="s">
        <v>82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</row>
    <row r="22" spans="1:17" s="122" customFormat="1" x14ac:dyDescent="0.35">
      <c r="A22" s="173"/>
      <c r="B22" s="173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</row>
    <row r="23" spans="1:17" x14ac:dyDescent="0.35">
      <c r="A23" s="177" t="s">
        <v>83</v>
      </c>
      <c r="B23" s="177"/>
      <c r="C23" s="176" t="s">
        <v>84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</row>
    <row r="24" spans="1:17" x14ac:dyDescent="0.35">
      <c r="A24" s="177"/>
      <c r="B24" s="177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</row>
    <row r="25" spans="1:17" s="122" customFormat="1" x14ac:dyDescent="0.35">
      <c r="A25" s="173" t="s">
        <v>85</v>
      </c>
      <c r="B25" s="173"/>
      <c r="C25" s="175" t="s">
        <v>86</v>
      </c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</row>
    <row r="26" spans="1:17" s="122" customFormat="1" x14ac:dyDescent="0.35">
      <c r="A26" s="173"/>
      <c r="B26" s="173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</row>
    <row r="27" spans="1:17" x14ac:dyDescent="0.35">
      <c r="A27" s="174" t="s">
        <v>58</v>
      </c>
      <c r="B27" s="174"/>
      <c r="C27" s="176" t="s">
        <v>87</v>
      </c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</row>
    <row r="28" spans="1:17" x14ac:dyDescent="0.35">
      <c r="A28" s="174"/>
      <c r="B28" s="174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</row>
    <row r="29" spans="1:17" s="122" customFormat="1" x14ac:dyDescent="0.35">
      <c r="A29" s="173" t="s">
        <v>59</v>
      </c>
      <c r="B29" s="173"/>
      <c r="C29" s="175" t="s">
        <v>88</v>
      </c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17" s="122" customFormat="1" x14ac:dyDescent="0.35">
      <c r="A30" s="173"/>
      <c r="B30" s="173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1:17" x14ac:dyDescent="0.35">
      <c r="A31" s="174" t="s">
        <v>64</v>
      </c>
      <c r="B31" s="174"/>
      <c r="C31" s="176" t="s">
        <v>89</v>
      </c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</row>
    <row r="32" spans="1:17" x14ac:dyDescent="0.35">
      <c r="A32" s="174"/>
      <c r="B32" s="174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</row>
    <row r="33" spans="1:17" x14ac:dyDescent="0.35">
      <c r="A33" s="125"/>
      <c r="B33" s="125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</row>
    <row r="34" spans="1:17" s="156" customFormat="1" ht="19" thickBot="1" x14ac:dyDescent="0.5">
      <c r="A34" s="166" t="s">
        <v>73</v>
      </c>
      <c r="B34" s="166"/>
      <c r="C34" s="154"/>
      <c r="D34" s="154"/>
      <c r="E34" s="154"/>
      <c r="F34" s="154"/>
      <c r="G34" s="155"/>
      <c r="H34" s="155"/>
      <c r="I34" s="155"/>
      <c r="J34" s="155"/>
      <c r="K34" s="155"/>
      <c r="L34" s="154"/>
      <c r="M34" s="154"/>
      <c r="N34" s="154"/>
      <c r="O34" s="154"/>
      <c r="P34" s="154"/>
      <c r="Q34" s="154"/>
    </row>
    <row r="35" spans="1:17" ht="15" thickTop="1" x14ac:dyDescent="0.35">
      <c r="A35" s="167">
        <v>45047</v>
      </c>
      <c r="B35" s="167"/>
      <c r="C35" s="168" t="s">
        <v>92</v>
      </c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</row>
    <row r="36" spans="1:17" x14ac:dyDescent="0.35">
      <c r="A36" s="167"/>
      <c r="B36" s="167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</row>
    <row r="37" spans="1:17" x14ac:dyDescent="0.35">
      <c r="A37" s="169">
        <v>45170</v>
      </c>
      <c r="B37" s="169"/>
      <c r="C37" s="170" t="s">
        <v>74</v>
      </c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</row>
    <row r="38" spans="1:17" x14ac:dyDescent="0.35">
      <c r="A38" s="169"/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</row>
    <row r="39" spans="1:17" s="168" customFormat="1" x14ac:dyDescent="0.35">
      <c r="A39" s="167">
        <v>45597</v>
      </c>
      <c r="B39" s="167"/>
      <c r="C39" s="168" t="s">
        <v>104</v>
      </c>
    </row>
    <row r="40" spans="1:17" s="168" customFormat="1" x14ac:dyDescent="0.35">
      <c r="A40" s="167"/>
      <c r="B40" s="167"/>
    </row>
  </sheetData>
  <mergeCells count="34">
    <mergeCell ref="A39:B40"/>
    <mergeCell ref="C39:XFD40"/>
    <mergeCell ref="A6:B6"/>
    <mergeCell ref="A7:B8"/>
    <mergeCell ref="A9:B10"/>
    <mergeCell ref="A11:B12"/>
    <mergeCell ref="A19:B20"/>
    <mergeCell ref="A21:B22"/>
    <mergeCell ref="A23:B24"/>
    <mergeCell ref="C23:Q24"/>
    <mergeCell ref="A13:B14"/>
    <mergeCell ref="A15:B16"/>
    <mergeCell ref="A17:B18"/>
    <mergeCell ref="C31:Q32"/>
    <mergeCell ref="A31:B32"/>
    <mergeCell ref="C7:Q8"/>
    <mergeCell ref="C9:Q10"/>
    <mergeCell ref="C11:Q12"/>
    <mergeCell ref="C13:Q14"/>
    <mergeCell ref="C15:Q16"/>
    <mergeCell ref="C17:Q18"/>
    <mergeCell ref="C19:Q20"/>
    <mergeCell ref="C21:Q22"/>
    <mergeCell ref="A25:B26"/>
    <mergeCell ref="A27:B28"/>
    <mergeCell ref="A29:B30"/>
    <mergeCell ref="C25:Q26"/>
    <mergeCell ref="C27:Q28"/>
    <mergeCell ref="C29:Q30"/>
    <mergeCell ref="A34:B34"/>
    <mergeCell ref="A35:B36"/>
    <mergeCell ref="C35:Q36"/>
    <mergeCell ref="A37:B38"/>
    <mergeCell ref="C37:Q38"/>
  </mergeCells>
  <pageMargins left="0.7" right="0.7" top="0.75" bottom="0.75" header="0.3" footer="0.3"/>
  <pageSetup orientation="portrait" r:id="rId1"/>
  <headerFooter>
    <oddFooter>&amp;L&amp;1#&amp;"Calibri"&amp;10&amp;K000000Internal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AD690-C1B9-40DF-ADCE-F519C0491B2A}">
  <sheetPr>
    <tabColor rgb="FF002060"/>
  </sheetPr>
  <dimension ref="A1:HI168"/>
  <sheetViews>
    <sheetView showGridLines="0" tabSelected="1" zoomScale="90" zoomScaleNormal="90" workbookViewId="0">
      <pane xSplit="2" ySplit="5" topLeftCell="K6" activePane="bottomRight" state="frozen"/>
      <selection pane="topRight" activeCell="C1" sqref="C1"/>
      <selection pane="bottomLeft" activeCell="A6" sqref="A6"/>
      <selection pane="bottomRight" activeCell="O75" sqref="O75"/>
    </sheetView>
  </sheetViews>
  <sheetFormatPr baseColWidth="10" defaultColWidth="0" defaultRowHeight="0" customHeight="1" zeroHeight="1" outlineLevelRow="1" outlineLevelCol="1" x14ac:dyDescent="0.35"/>
  <cols>
    <col min="1" max="1" width="28.81640625" customWidth="1"/>
    <col min="2" max="2" width="14.81640625" customWidth="1"/>
    <col min="3" max="6" width="11.453125" customWidth="1" outlineLevel="1"/>
    <col min="7" max="14" width="11.453125" customWidth="1"/>
    <col min="15" max="15" width="11.453125" style="2" customWidth="1"/>
    <col min="16" max="16" width="4.81640625" customWidth="1"/>
    <col min="17" max="17" width="11.453125" style="66" customWidth="1"/>
    <col min="18" max="18" width="11.453125" customWidth="1"/>
    <col min="19" max="19" width="11.08984375" style="58" customWidth="1"/>
    <col min="20" max="20" width="4.81640625" customWidth="1"/>
    <col min="21" max="117" width="11.08984375" hidden="1" customWidth="1"/>
    <col min="118" max="215" width="8.984375E-2" hidden="1" customWidth="1"/>
    <col min="216" max="217" width="0" hidden="1" customWidth="1"/>
    <col min="218" max="16384" width="8.984375E-2" hidden="1"/>
  </cols>
  <sheetData>
    <row r="1" spans="1:19" s="63" customFormat="1" ht="14.5" customHeight="1" x14ac:dyDescent="0.35">
      <c r="B1" s="6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81"/>
      <c r="P1" s="142"/>
      <c r="Q1" s="142"/>
      <c r="R1" s="142"/>
      <c r="S1" s="150"/>
    </row>
    <row r="2" spans="1:19" s="63" customFormat="1" ht="14.5" customHeight="1" x14ac:dyDescent="0.35">
      <c r="A2" s="62"/>
      <c r="B2" s="62"/>
      <c r="C2" s="142"/>
      <c r="D2" s="142"/>
      <c r="E2" s="142"/>
      <c r="F2" s="142"/>
      <c r="G2" s="142" t="s">
        <v>101</v>
      </c>
      <c r="H2" s="142"/>
      <c r="I2" s="142"/>
      <c r="J2" s="142"/>
      <c r="K2" s="142"/>
      <c r="L2" s="142"/>
      <c r="M2" s="142"/>
      <c r="N2" s="142"/>
      <c r="O2" s="181"/>
      <c r="P2" s="142"/>
      <c r="Q2" s="142"/>
      <c r="R2" s="142"/>
      <c r="S2" s="150"/>
    </row>
    <row r="3" spans="1:19" s="63" customFormat="1" ht="14.5" customHeight="1" x14ac:dyDescent="0.35">
      <c r="A3" s="62"/>
      <c r="B3" s="6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81"/>
      <c r="P3" s="142"/>
      <c r="Q3" s="142"/>
      <c r="R3" s="142"/>
      <c r="S3" s="150"/>
    </row>
    <row r="4" spans="1:19" ht="14.5" customHeight="1" x14ac:dyDescent="0.35">
      <c r="A4" s="1"/>
      <c r="B4" s="1"/>
      <c r="C4">
        <v>2022</v>
      </c>
      <c r="D4">
        <v>2022</v>
      </c>
      <c r="E4">
        <v>2022</v>
      </c>
      <c r="F4">
        <v>2022</v>
      </c>
      <c r="G4">
        <v>2023</v>
      </c>
      <c r="H4">
        <v>2023</v>
      </c>
      <c r="I4">
        <v>2023</v>
      </c>
      <c r="J4">
        <v>2023</v>
      </c>
      <c r="K4">
        <v>2024</v>
      </c>
      <c r="L4">
        <v>2024</v>
      </c>
      <c r="M4">
        <v>2024</v>
      </c>
      <c r="N4">
        <v>2024</v>
      </c>
      <c r="O4" s="2">
        <v>2025</v>
      </c>
    </row>
    <row r="5" spans="1:19" s="5" customFormat="1" ht="15.5" x14ac:dyDescent="0.35">
      <c r="A5" s="123" t="s">
        <v>102</v>
      </c>
      <c r="B5" s="4"/>
      <c r="C5" s="64" t="s">
        <v>95</v>
      </c>
      <c r="D5" s="64" t="s">
        <v>96</v>
      </c>
      <c r="E5" s="64" t="s">
        <v>97</v>
      </c>
      <c r="F5" s="64" t="s">
        <v>98</v>
      </c>
      <c r="G5" s="65" t="s">
        <v>0</v>
      </c>
      <c r="H5" s="65" t="s">
        <v>1</v>
      </c>
      <c r="I5" s="65" t="s">
        <v>2</v>
      </c>
      <c r="J5" s="65" t="s">
        <v>3</v>
      </c>
      <c r="K5" s="3" t="s">
        <v>4</v>
      </c>
      <c r="L5" s="59" t="s">
        <v>94</v>
      </c>
      <c r="M5" s="59" t="s">
        <v>100</v>
      </c>
      <c r="N5" s="59" t="s">
        <v>103</v>
      </c>
      <c r="O5" s="59" t="s">
        <v>105</v>
      </c>
      <c r="P5" s="59"/>
      <c r="Q5" s="67">
        <v>2022</v>
      </c>
      <c r="R5" s="130">
        <v>2023</v>
      </c>
      <c r="S5" s="68">
        <v>2024</v>
      </c>
    </row>
    <row r="6" spans="1:19" ht="14.5" x14ac:dyDescent="0.35">
      <c r="A6" s="6"/>
      <c r="B6" s="7"/>
      <c r="G6" s="6"/>
      <c r="H6" s="6"/>
      <c r="I6" s="6"/>
      <c r="J6" s="6"/>
      <c r="K6" s="6"/>
    </row>
    <row r="7" spans="1:19" ht="14.5" x14ac:dyDescent="0.35">
      <c r="B7" s="7">
        <v>-1</v>
      </c>
      <c r="G7" s="6"/>
      <c r="H7" s="6"/>
      <c r="I7" s="6"/>
      <c r="J7" s="6"/>
      <c r="K7" s="6"/>
    </row>
    <row r="8" spans="1:19" s="9" customFormat="1" ht="15.5" customHeight="1" x14ac:dyDescent="0.35">
      <c r="A8" s="178" t="s">
        <v>5</v>
      </c>
      <c r="B8" s="178"/>
      <c r="G8" s="8"/>
      <c r="H8" s="8"/>
      <c r="I8" s="8"/>
      <c r="J8" s="8"/>
      <c r="K8" s="8"/>
      <c r="O8" s="182"/>
      <c r="Q8" s="69"/>
      <c r="S8" s="70"/>
    </row>
    <row r="9" spans="1:19" ht="15.5" customHeight="1" x14ac:dyDescent="0.35">
      <c r="A9" s="10"/>
      <c r="B9" s="7"/>
      <c r="G9" s="6"/>
      <c r="H9" s="6"/>
      <c r="I9" s="6"/>
      <c r="J9" s="6"/>
      <c r="K9" s="6"/>
    </row>
    <row r="10" spans="1:19" s="41" customFormat="1" ht="14.5" customHeight="1" x14ac:dyDescent="0.35">
      <c r="A10" s="11" t="s">
        <v>6</v>
      </c>
      <c r="B10" s="121"/>
      <c r="C10" s="118">
        <v>25810.603313599997</v>
      </c>
      <c r="D10" s="118">
        <v>26364.648067540002</v>
      </c>
      <c r="E10" s="118">
        <v>26331.942250369993</v>
      </c>
      <c r="F10" s="118">
        <v>28886.056322873839</v>
      </c>
      <c r="G10" s="118">
        <v>30112.41371538</v>
      </c>
      <c r="H10" s="118">
        <v>31436.161695130002</v>
      </c>
      <c r="I10" s="118">
        <v>33269.482540769997</v>
      </c>
      <c r="J10" s="118">
        <v>30844.809624680001</v>
      </c>
      <c r="K10" s="118">
        <v>30354.759442489998</v>
      </c>
      <c r="L10" s="118">
        <v>34361.781466612498</v>
      </c>
      <c r="M10" s="118">
        <v>40193.200117820001</v>
      </c>
      <c r="N10" s="126">
        <v>39930.301343030696</v>
      </c>
      <c r="O10" s="184">
        <v>37323.667260889997</v>
      </c>
      <c r="P10" s="126"/>
      <c r="Q10" s="71">
        <f>+SUMIFS($C10:$L10,$C$4:$L$4,Q$5)</f>
        <v>107393.24995438382</v>
      </c>
      <c r="R10" s="12">
        <f>+SUMIFS($C10:$L10,$C$4:$L$4,R$5)</f>
        <v>125662.86757596</v>
      </c>
      <c r="S10" s="72">
        <f>+SUMIFS($C10:$N10,$C$4:$N$4,S$5)</f>
        <v>144840.04236995318</v>
      </c>
    </row>
    <row r="11" spans="1:19" s="60" customFormat="1" ht="9.5" customHeight="1" x14ac:dyDescent="0.35">
      <c r="A11" s="61"/>
      <c r="C11" s="159"/>
      <c r="D11" s="159"/>
      <c r="E11" s="159"/>
      <c r="F11" s="159"/>
      <c r="G11" s="159"/>
      <c r="H11" s="159"/>
      <c r="I11" s="159"/>
      <c r="J11" s="159"/>
      <c r="K11" s="159"/>
      <c r="L11" s="22"/>
      <c r="M11" s="22"/>
      <c r="N11" s="127"/>
      <c r="O11" s="127"/>
      <c r="P11" s="127"/>
      <c r="Q11" s="73"/>
      <c r="R11" s="22"/>
      <c r="S11" s="74"/>
    </row>
    <row r="12" spans="1:19" ht="14.5" x14ac:dyDescent="0.35">
      <c r="A12" s="13" t="s">
        <v>7</v>
      </c>
      <c r="C12" s="22"/>
      <c r="D12" s="22"/>
      <c r="E12" s="22"/>
      <c r="F12" s="22"/>
      <c r="G12" s="14"/>
      <c r="H12" s="14"/>
      <c r="I12" s="14"/>
      <c r="J12" s="14"/>
      <c r="K12" s="57"/>
      <c r="L12" s="14"/>
      <c r="M12" s="14"/>
      <c r="N12" s="128"/>
      <c r="O12" s="128"/>
      <c r="P12" s="128"/>
      <c r="Q12" s="75"/>
      <c r="R12" s="14"/>
      <c r="S12" s="76"/>
    </row>
    <row r="13" spans="1:19" ht="14.5" outlineLevel="1" x14ac:dyDescent="0.35">
      <c r="A13" s="15" t="s">
        <v>8</v>
      </c>
      <c r="B13" s="119"/>
      <c r="C13" s="117">
        <v>-1471.1768531855619</v>
      </c>
      <c r="D13" s="117">
        <v>-1480.9796739145497</v>
      </c>
      <c r="E13" s="117">
        <v>-1498.1975612004355</v>
      </c>
      <c r="F13" s="117">
        <v>-1467.3781363477358</v>
      </c>
      <c r="G13" s="117">
        <v>-1560.3624095557784</v>
      </c>
      <c r="H13" s="117">
        <v>-1730.1517326159835</v>
      </c>
      <c r="I13" s="117">
        <v>-1717.2260699800001</v>
      </c>
      <c r="J13" s="117">
        <v>-1903.3914143749998</v>
      </c>
      <c r="K13" s="117">
        <v>-1212.48536863463</v>
      </c>
      <c r="L13" s="117">
        <v>-1561.2583528671771</v>
      </c>
      <c r="M13" s="117">
        <v>-1431.8643434470696</v>
      </c>
      <c r="N13" s="117">
        <v>-1414.3093130556483</v>
      </c>
      <c r="O13" s="117">
        <v>-1449.0611703707652</v>
      </c>
      <c r="P13" s="117"/>
      <c r="Q13" s="73">
        <f t="shared" ref="Q13:R21" si="0">+SUMIFS($C13:$L13,$C$4:$L$4,Q$5)</f>
        <v>-5917.7322246482827</v>
      </c>
      <c r="R13" s="22">
        <f t="shared" si="0"/>
        <v>-6911.1316265267615</v>
      </c>
      <c r="S13" s="74">
        <f t="shared" ref="S13:S21" si="1">+SUMIFS($C13:$N13,$C$4:$N$4,S$5)</f>
        <v>-5619.9173780045248</v>
      </c>
    </row>
    <row r="14" spans="1:19" ht="14.5" outlineLevel="1" x14ac:dyDescent="0.35">
      <c r="A14" s="15" t="s">
        <v>9</v>
      </c>
      <c r="C14" s="117">
        <v>-88.3489976020238</v>
      </c>
      <c r="D14" s="117">
        <v>-174.08588439250002</v>
      </c>
      <c r="E14" s="117">
        <v>-211.12251311995001</v>
      </c>
      <c r="F14" s="117">
        <v>-202.20939174984997</v>
      </c>
      <c r="G14" s="117">
        <v>-180.90855455479996</v>
      </c>
      <c r="H14" s="117">
        <v>-176.6083470749</v>
      </c>
      <c r="I14" s="117">
        <v>-276.92571220571432</v>
      </c>
      <c r="J14" s="117">
        <v>-150.2565400107143</v>
      </c>
      <c r="K14" s="117">
        <v>-230.32728945410713</v>
      </c>
      <c r="L14" s="117">
        <v>-301.83852395775</v>
      </c>
      <c r="M14" s="117">
        <v>-307.20475520919996</v>
      </c>
      <c r="N14" s="117">
        <v>-327.39813434454499</v>
      </c>
      <c r="O14" s="117">
        <v>-295.38454823783508</v>
      </c>
      <c r="P14" s="117"/>
      <c r="Q14" s="73">
        <f t="shared" si="0"/>
        <v>-675.76678686432376</v>
      </c>
      <c r="R14" s="22">
        <f t="shared" si="0"/>
        <v>-784.69915384612852</v>
      </c>
      <c r="S14" s="74">
        <f t="shared" si="1"/>
        <v>-1166.7687029656022</v>
      </c>
    </row>
    <row r="15" spans="1:19" ht="14.5" outlineLevel="1" x14ac:dyDescent="0.35">
      <c r="A15" s="15" t="s">
        <v>10</v>
      </c>
      <c r="C15" s="117">
        <v>-550.41618527726246</v>
      </c>
      <c r="D15" s="117">
        <v>-783.4497369674998</v>
      </c>
      <c r="E15" s="117">
        <v>-959.49752472500018</v>
      </c>
      <c r="F15" s="117">
        <v>-2752.4374311281299</v>
      </c>
      <c r="G15" s="117">
        <v>-1061.6782835869169</v>
      </c>
      <c r="H15" s="117">
        <v>-874.71015572929991</v>
      </c>
      <c r="I15" s="117">
        <v>-1478.794458986428</v>
      </c>
      <c r="J15" s="117">
        <v>-1730.7442673218213</v>
      </c>
      <c r="K15" s="117">
        <v>-1332.83490762832</v>
      </c>
      <c r="L15" s="117">
        <v>-2033.2824526700679</v>
      </c>
      <c r="M15" s="117">
        <v>-1592.3795578518677</v>
      </c>
      <c r="N15" s="117">
        <v>-1344.4338800233209</v>
      </c>
      <c r="O15" s="117">
        <v>-1528.898590016355</v>
      </c>
      <c r="P15" s="117"/>
      <c r="Q15" s="73">
        <f t="shared" si="0"/>
        <v>-5045.8008780978926</v>
      </c>
      <c r="R15" s="22">
        <f t="shared" si="0"/>
        <v>-5145.9271656244664</v>
      </c>
      <c r="S15" s="74">
        <f t="shared" si="1"/>
        <v>-6302.9307981735765</v>
      </c>
    </row>
    <row r="16" spans="1:19" ht="14.5" outlineLevel="1" x14ac:dyDescent="0.35">
      <c r="A16" s="15" t="s">
        <v>11</v>
      </c>
      <c r="C16" s="117">
        <v>-1204.145623396578</v>
      </c>
      <c r="D16" s="117">
        <v>-1256.8665634404492</v>
      </c>
      <c r="E16" s="117">
        <v>-1115.7332974367282</v>
      </c>
      <c r="F16" s="117">
        <v>-1323.0255561088352</v>
      </c>
      <c r="G16" s="117">
        <v>-1424.4517468840374</v>
      </c>
      <c r="H16" s="117">
        <v>-1727.5986197210268</v>
      </c>
      <c r="I16" s="117">
        <v>-1404.9545213752669</v>
      </c>
      <c r="J16" s="117">
        <v>-1365.5201029179373</v>
      </c>
      <c r="K16" s="117">
        <v>-1468.370910845993</v>
      </c>
      <c r="L16" s="117">
        <v>-1483.8393051949558</v>
      </c>
      <c r="M16" s="117">
        <v>-1427.4181885338335</v>
      </c>
      <c r="N16" s="117">
        <v>-1493.3134539018718</v>
      </c>
      <c r="O16" s="117">
        <v>-1475.1740157828333</v>
      </c>
      <c r="P16" s="117"/>
      <c r="Q16" s="73">
        <f t="shared" si="0"/>
        <v>-4899.7710403825904</v>
      </c>
      <c r="R16" s="22">
        <f t="shared" si="0"/>
        <v>-5922.5249908982687</v>
      </c>
      <c r="S16" s="74">
        <f t="shared" si="1"/>
        <v>-5872.9418584766536</v>
      </c>
    </row>
    <row r="17" spans="1:19" ht="14.5" outlineLevel="1" x14ac:dyDescent="0.35">
      <c r="A17" s="15" t="s">
        <v>12</v>
      </c>
      <c r="C17" s="117">
        <v>-607.72286605630393</v>
      </c>
      <c r="D17" s="117">
        <v>-731.62121059813751</v>
      </c>
      <c r="E17" s="117">
        <v>-763.88012755414775</v>
      </c>
      <c r="F17" s="117">
        <v>-816.70570476242904</v>
      </c>
      <c r="G17" s="117">
        <v>-837.27858113144589</v>
      </c>
      <c r="H17" s="117">
        <v>-810.44274222084994</v>
      </c>
      <c r="I17" s="117">
        <v>-851.25037045399995</v>
      </c>
      <c r="J17" s="117">
        <v>-916.51649065032575</v>
      </c>
      <c r="K17" s="117">
        <v>-897.73126497720739</v>
      </c>
      <c r="L17" s="117">
        <v>-1080.1840625869288</v>
      </c>
      <c r="M17" s="117">
        <v>-1222.2043790719056</v>
      </c>
      <c r="N17" s="117">
        <v>-985.22325665881067</v>
      </c>
      <c r="O17" s="117">
        <v>-1041.8756976091288</v>
      </c>
      <c r="P17" s="117"/>
      <c r="Q17" s="73">
        <f t="shared" si="0"/>
        <v>-2919.929908971018</v>
      </c>
      <c r="R17" s="22">
        <f t="shared" si="0"/>
        <v>-3415.4881844566216</v>
      </c>
      <c r="S17" s="74">
        <f t="shared" si="1"/>
        <v>-4185.3429632948528</v>
      </c>
    </row>
    <row r="18" spans="1:19" ht="14.5" outlineLevel="1" x14ac:dyDescent="0.35">
      <c r="A18" s="15" t="s">
        <v>13</v>
      </c>
      <c r="C18" s="117">
        <v>-67.690587614285732</v>
      </c>
      <c r="D18" s="117">
        <v>-336.06106108999995</v>
      </c>
      <c r="E18" s="117">
        <v>-114.687894</v>
      </c>
      <c r="F18" s="117">
        <v>-486.86914258000002</v>
      </c>
      <c r="G18" s="117">
        <v>-250.70179414834999</v>
      </c>
      <c r="H18" s="117">
        <v>-101.95449600000001</v>
      </c>
      <c r="I18" s="117">
        <v>-279.08997965999998</v>
      </c>
      <c r="J18" s="117">
        <v>-227.59178306999999</v>
      </c>
      <c r="K18" s="117">
        <v>-160.02103550000001</v>
      </c>
      <c r="L18" s="117">
        <v>-149.49986163</v>
      </c>
      <c r="M18" s="117">
        <v>-199.0388917363201</v>
      </c>
      <c r="N18" s="117">
        <v>-184.36211048089092</v>
      </c>
      <c r="O18" s="117">
        <v>-239.64768464239</v>
      </c>
      <c r="P18" s="117"/>
      <c r="Q18" s="73">
        <f t="shared" si="0"/>
        <v>-1005.3086852842857</v>
      </c>
      <c r="R18" s="22">
        <f t="shared" si="0"/>
        <v>-859.33805287835003</v>
      </c>
      <c r="S18" s="74">
        <f t="shared" si="1"/>
        <v>-692.92189934721102</v>
      </c>
    </row>
    <row r="19" spans="1:19" ht="14.5" outlineLevel="1" x14ac:dyDescent="0.35">
      <c r="A19" s="15" t="s">
        <v>14</v>
      </c>
      <c r="C19" s="117">
        <v>-306.61332466038169</v>
      </c>
      <c r="D19" s="117">
        <v>-179.25629892426124</v>
      </c>
      <c r="E19" s="117">
        <v>-837.57797510814498</v>
      </c>
      <c r="F19" s="117">
        <v>-2757.7865328832822</v>
      </c>
      <c r="G19" s="117">
        <v>-628.66923006421268</v>
      </c>
      <c r="H19" s="117">
        <v>-486.62431983417844</v>
      </c>
      <c r="I19" s="117">
        <v>-1254.5210851430375</v>
      </c>
      <c r="J19" s="117">
        <v>-10.991852288232371</v>
      </c>
      <c r="K19" s="117">
        <v>-723.10433088860896</v>
      </c>
      <c r="L19" s="117">
        <v>-718.23945106730889</v>
      </c>
      <c r="M19" s="117">
        <v>-282.29260893211494</v>
      </c>
      <c r="N19" s="117">
        <v>-1019.8901449094059</v>
      </c>
      <c r="O19" s="117">
        <v>-205.40421697491348</v>
      </c>
      <c r="P19" s="117"/>
      <c r="Q19" s="73">
        <f t="shared" si="0"/>
        <v>-4081.23413157607</v>
      </c>
      <c r="R19" s="22">
        <f t="shared" si="0"/>
        <v>-2380.8064873296607</v>
      </c>
      <c r="S19" s="74">
        <f t="shared" si="1"/>
        <v>-2743.5265357974386</v>
      </c>
    </row>
    <row r="20" spans="1:19" ht="14.5" x14ac:dyDescent="0.35">
      <c r="A20" s="13" t="s">
        <v>15</v>
      </c>
      <c r="C20" s="16">
        <f>+SUM(C13:C19)</f>
        <v>-4296.1144377923974</v>
      </c>
      <c r="D20" s="16">
        <f t="shared" ref="D20:O20" si="2">+SUM(D13:D19)</f>
        <v>-4942.3204293273975</v>
      </c>
      <c r="E20" s="16">
        <f t="shared" si="2"/>
        <v>-5500.6968931444062</v>
      </c>
      <c r="F20" s="16">
        <f t="shared" si="2"/>
        <v>-9806.4118955602626</v>
      </c>
      <c r="G20" s="16">
        <f t="shared" si="2"/>
        <v>-5944.050599925542</v>
      </c>
      <c r="H20" s="16">
        <f t="shared" si="2"/>
        <v>-5908.0904131962388</v>
      </c>
      <c r="I20" s="16">
        <f t="shared" si="2"/>
        <v>-7262.7621978044463</v>
      </c>
      <c r="J20" s="16">
        <f t="shared" si="2"/>
        <v>-6305.0124506340308</v>
      </c>
      <c r="K20" s="16">
        <f t="shared" si="2"/>
        <v>-6024.8751079288668</v>
      </c>
      <c r="L20" s="16">
        <f t="shared" si="2"/>
        <v>-7328.1420099741881</v>
      </c>
      <c r="M20" s="16">
        <f t="shared" si="2"/>
        <v>-6462.4027247823105</v>
      </c>
      <c r="N20" s="16">
        <f t="shared" si="2"/>
        <v>-6768.930293374493</v>
      </c>
      <c r="O20" s="16">
        <f t="shared" si="2"/>
        <v>-6235.4459236342218</v>
      </c>
      <c r="P20" s="16"/>
      <c r="Q20" s="77">
        <f>+SUMIFS($C20:$L20,$C$4:$L$4,Q$5)</f>
        <v>-24545.543655824462</v>
      </c>
      <c r="R20" s="16">
        <f t="shared" si="0"/>
        <v>-25419.915661560255</v>
      </c>
      <c r="S20" s="78">
        <f t="shared" si="1"/>
        <v>-26584.35013605986</v>
      </c>
    </row>
    <row r="21" spans="1:19" s="17" customFormat="1" ht="14.5" x14ac:dyDescent="0.35">
      <c r="A21" s="17" t="s">
        <v>16</v>
      </c>
      <c r="C21" s="18">
        <f t="shared" ref="C21:O21" si="3">+C10+C20</f>
        <v>21514.488875807598</v>
      </c>
      <c r="D21" s="18">
        <f t="shared" si="3"/>
        <v>21422.327638212606</v>
      </c>
      <c r="E21" s="18">
        <f t="shared" si="3"/>
        <v>20831.245357225587</v>
      </c>
      <c r="F21" s="18">
        <f t="shared" si="3"/>
        <v>19079.644427313578</v>
      </c>
      <c r="G21" s="18">
        <f t="shared" si="3"/>
        <v>24168.363115454456</v>
      </c>
      <c r="H21" s="18">
        <f t="shared" si="3"/>
        <v>25528.071281933764</v>
      </c>
      <c r="I21" s="18">
        <f t="shared" si="3"/>
        <v>26006.720342965549</v>
      </c>
      <c r="J21" s="18">
        <f t="shared" si="3"/>
        <v>24539.797174045969</v>
      </c>
      <c r="K21" s="18">
        <f t="shared" si="3"/>
        <v>24329.884334561131</v>
      </c>
      <c r="L21" s="18">
        <f t="shared" si="3"/>
        <v>27033.63945663831</v>
      </c>
      <c r="M21" s="18">
        <f t="shared" si="3"/>
        <v>33730.79739303769</v>
      </c>
      <c r="N21" s="18">
        <f t="shared" si="3"/>
        <v>33161.371049656205</v>
      </c>
      <c r="O21" s="18">
        <f t="shared" si="3"/>
        <v>31088.221337255774</v>
      </c>
      <c r="P21" s="18"/>
      <c r="Q21" s="79">
        <f>+SUMIFS($C21:$L21,$C$4:$L$4,Q$5)</f>
        <v>82847.70629855938</v>
      </c>
      <c r="R21" s="131">
        <f t="shared" si="0"/>
        <v>100242.95191439975</v>
      </c>
      <c r="S21" s="80">
        <f t="shared" si="1"/>
        <v>118255.69223389335</v>
      </c>
    </row>
    <row r="22" spans="1:19" s="21" customFormat="1" ht="14.5" x14ac:dyDescent="0.35">
      <c r="A22" s="19" t="s">
        <v>17</v>
      </c>
      <c r="B22" s="20"/>
      <c r="C22" s="21">
        <f t="shared" ref="C22:O22" si="4">+C21/C10</f>
        <v>0.83355234336855999</v>
      </c>
      <c r="D22" s="21">
        <f t="shared" si="4"/>
        <v>0.81253986714837467</v>
      </c>
      <c r="E22" s="21">
        <f t="shared" si="4"/>
        <v>0.79110174096378649</v>
      </c>
      <c r="F22" s="21">
        <f t="shared" si="4"/>
        <v>0.66051399381247788</v>
      </c>
      <c r="G22" s="21">
        <f t="shared" si="4"/>
        <v>0.80260464484487326</v>
      </c>
      <c r="H22" s="21">
        <f t="shared" si="4"/>
        <v>0.81206069397106129</v>
      </c>
      <c r="I22" s="21">
        <f t="shared" si="4"/>
        <v>0.7816989732586217</v>
      </c>
      <c r="J22" s="21">
        <f t="shared" si="4"/>
        <v>0.79558919223838642</v>
      </c>
      <c r="K22" s="21">
        <f t="shared" si="4"/>
        <v>0.80151794253736153</v>
      </c>
      <c r="L22" s="21">
        <f t="shared" si="4"/>
        <v>0.78673567850099535</v>
      </c>
      <c r="M22" s="21">
        <f t="shared" si="4"/>
        <v>0.83921651657895369</v>
      </c>
      <c r="N22" s="21">
        <f t="shared" si="4"/>
        <v>0.83048136213086909</v>
      </c>
      <c r="O22" s="21">
        <f t="shared" si="4"/>
        <v>0.83293587202862829</v>
      </c>
      <c r="Q22" s="81">
        <f>+Q21/Q10</f>
        <v>0.77144239823033234</v>
      </c>
      <c r="R22" s="132">
        <f>+R21/R10</f>
        <v>0.79771338859353524</v>
      </c>
      <c r="S22" s="82">
        <f>+S21/S10</f>
        <v>0.81645717785584748</v>
      </c>
    </row>
    <row r="23" spans="1:19" ht="14.5" x14ac:dyDescent="0.35">
      <c r="A23" s="13" t="s">
        <v>18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44"/>
      <c r="O23" s="144"/>
      <c r="P23" s="144"/>
      <c r="Q23" s="83"/>
      <c r="R23" s="2"/>
      <c r="S23" s="84"/>
    </row>
    <row r="24" spans="1:19" ht="14.5" outlineLevel="1" x14ac:dyDescent="0.35">
      <c r="A24" s="15" t="s">
        <v>19</v>
      </c>
      <c r="C24" s="120">
        <v>-3850.32885627</v>
      </c>
      <c r="D24" s="120">
        <v>-4131.7105682599995</v>
      </c>
      <c r="E24" s="120">
        <v>-4874.1521061525418</v>
      </c>
      <c r="F24" s="120">
        <v>-4788.3358477755801</v>
      </c>
      <c r="G24" s="120">
        <v>-4762.1488638813089</v>
      </c>
      <c r="H24" s="120">
        <v>-4864.4504765129122</v>
      </c>
      <c r="I24" s="120">
        <v>-5082.4566142287013</v>
      </c>
      <c r="J24" s="120">
        <v>-4875.9043084853029</v>
      </c>
      <c r="K24" s="120">
        <v>-5054.9257643149249</v>
      </c>
      <c r="L24" s="120">
        <v>-4891.2154575663635</v>
      </c>
      <c r="M24" s="120">
        <v>-5157.8803077721313</v>
      </c>
      <c r="N24" s="120">
        <v>-5270.1260637780861</v>
      </c>
      <c r="O24" s="120">
        <v>-5142.0732408478525</v>
      </c>
      <c r="P24" s="120"/>
      <c r="Q24" s="73">
        <f t="shared" ref="Q24:R29" si="5">+SUMIFS($C24:$L24,$C$4:$L$4,Q$5)</f>
        <v>-17644.527378458122</v>
      </c>
      <c r="R24" s="22">
        <f t="shared" si="5"/>
        <v>-19584.960263108227</v>
      </c>
      <c r="S24" s="74">
        <f t="shared" ref="S24:S29" si="6">+SUMIFS($C24:$N24,$C$4:$N$4,S$5)</f>
        <v>-20374.147593431506</v>
      </c>
    </row>
    <row r="25" spans="1:19" ht="14.5" outlineLevel="1" x14ac:dyDescent="0.35">
      <c r="A25" s="15" t="s">
        <v>20</v>
      </c>
      <c r="C25" s="120">
        <v>-731.56248269129992</v>
      </c>
      <c r="D25" s="120">
        <v>-248.87284429939996</v>
      </c>
      <c r="E25" s="120">
        <v>-146.92010368400008</v>
      </c>
      <c r="F25" s="120">
        <v>-100.62861102639989</v>
      </c>
      <c r="G25" s="120">
        <v>-74.5889597579</v>
      </c>
      <c r="H25" s="120">
        <v>-90.251067946299983</v>
      </c>
      <c r="I25" s="120">
        <v>-121.00455734890001</v>
      </c>
      <c r="J25" s="120">
        <v>-102.73391027290002</v>
      </c>
      <c r="K25" s="120">
        <v>-93.768520430199999</v>
      </c>
      <c r="L25" s="120">
        <v>-93.476362704599993</v>
      </c>
      <c r="M25" s="120">
        <v>-104.05595237940001</v>
      </c>
      <c r="N25" s="120">
        <v>-109.1752237444</v>
      </c>
      <c r="O25" s="120">
        <v>-97.131741937900003</v>
      </c>
      <c r="P25" s="120"/>
      <c r="Q25" s="73">
        <f t="shared" si="5"/>
        <v>-1227.9840417011001</v>
      </c>
      <c r="R25" s="22">
        <f t="shared" si="5"/>
        <v>-388.578495326</v>
      </c>
      <c r="S25" s="74">
        <f t="shared" si="6"/>
        <v>-400.4760592586</v>
      </c>
    </row>
    <row r="26" spans="1:19" ht="14.5" outlineLevel="1" x14ac:dyDescent="0.35">
      <c r="A26" s="15" t="s">
        <v>21</v>
      </c>
      <c r="C26" s="120">
        <v>-325.36912372</v>
      </c>
      <c r="D26" s="120">
        <v>-337.96441197000001</v>
      </c>
      <c r="E26" s="120">
        <v>-349.02951902000001</v>
      </c>
      <c r="F26" s="120">
        <v>-356.3992269200001</v>
      </c>
      <c r="G26" s="120">
        <v>-360.82763585000004</v>
      </c>
      <c r="H26" s="120">
        <v>-378.44946479999993</v>
      </c>
      <c r="I26" s="120">
        <v>-407.65468263999998</v>
      </c>
      <c r="J26" s="120">
        <v>-411.46168417000007</v>
      </c>
      <c r="K26" s="120">
        <v>-404.74503751999998</v>
      </c>
      <c r="L26" s="120">
        <v>-411.98556885000005</v>
      </c>
      <c r="M26" s="120">
        <v>-422.45430427000008</v>
      </c>
      <c r="N26" s="120">
        <v>-427.27613138999988</v>
      </c>
      <c r="O26" s="120">
        <v>-393.69128692000004</v>
      </c>
      <c r="P26" s="120"/>
      <c r="Q26" s="73">
        <f t="shared" si="5"/>
        <v>-1368.76228163</v>
      </c>
      <c r="R26" s="22">
        <f t="shared" si="5"/>
        <v>-1558.39346746</v>
      </c>
      <c r="S26" s="74">
        <f t="shared" si="6"/>
        <v>-1666.4610420299998</v>
      </c>
    </row>
    <row r="27" spans="1:19" ht="14.5" x14ac:dyDescent="0.35">
      <c r="A27" s="13" t="s">
        <v>22</v>
      </c>
      <c r="C27" s="160">
        <f t="shared" ref="C27:M27" si="7">+SUM(C24:C26)</f>
        <v>-4907.2604626812999</v>
      </c>
      <c r="D27" s="160">
        <f t="shared" si="7"/>
        <v>-4718.5478245293989</v>
      </c>
      <c r="E27" s="160">
        <f t="shared" si="7"/>
        <v>-5370.1017288565426</v>
      </c>
      <c r="F27" s="160">
        <f t="shared" si="7"/>
        <v>-5245.3636857219799</v>
      </c>
      <c r="G27" s="160">
        <f t="shared" si="7"/>
        <v>-5197.5654594892085</v>
      </c>
      <c r="H27" s="160">
        <f t="shared" si="7"/>
        <v>-5333.1510092592125</v>
      </c>
      <c r="I27" s="160">
        <f t="shared" si="7"/>
        <v>-5611.1158542176008</v>
      </c>
      <c r="J27" s="160">
        <f t="shared" si="7"/>
        <v>-5390.0999029282029</v>
      </c>
      <c r="K27" s="160">
        <f t="shared" si="7"/>
        <v>-5553.4393222651242</v>
      </c>
      <c r="L27" s="160">
        <f t="shared" si="7"/>
        <v>-5396.6773891209641</v>
      </c>
      <c r="M27" s="160">
        <f t="shared" si="7"/>
        <v>-5684.3905644215311</v>
      </c>
      <c r="N27" s="160">
        <f>+SUM(N24:N26)</f>
        <v>-5806.5774189124859</v>
      </c>
      <c r="O27" s="160">
        <f>+SUM(O24:O26)</f>
        <v>-5632.8962697057523</v>
      </c>
      <c r="P27" s="160"/>
      <c r="Q27" s="73">
        <f t="shared" si="5"/>
        <v>-20241.273701789221</v>
      </c>
      <c r="R27" s="22">
        <f t="shared" si="5"/>
        <v>-21531.932225894227</v>
      </c>
      <c r="S27" s="74">
        <f t="shared" si="6"/>
        <v>-22441.084694720106</v>
      </c>
    </row>
    <row r="28" spans="1:19" ht="14.5" x14ac:dyDescent="0.35">
      <c r="A28" s="13" t="s">
        <v>23</v>
      </c>
      <c r="B28" s="13"/>
      <c r="C28" s="120">
        <v>-549.74259336369516</v>
      </c>
      <c r="D28" s="120">
        <v>-1770.0050639606468</v>
      </c>
      <c r="E28" s="120">
        <v>-1851.5107842759573</v>
      </c>
      <c r="F28" s="120">
        <v>-1839.6247191336965</v>
      </c>
      <c r="G28" s="120">
        <v>-421.57055796211432</v>
      </c>
      <c r="H28" s="120">
        <v>-385.29970745365796</v>
      </c>
      <c r="I28" s="120">
        <v>-1034.4363501812088</v>
      </c>
      <c r="J28" s="120">
        <v>-1572.2684405660477</v>
      </c>
      <c r="K28" s="120">
        <v>-1476.0820860180831</v>
      </c>
      <c r="L28" s="120">
        <v>-853.65017283536702</v>
      </c>
      <c r="M28" s="120">
        <v>1017.8438709962278</v>
      </c>
      <c r="N28" s="120">
        <v>-1972.2552555357288</v>
      </c>
      <c r="O28" s="120">
        <v>-2323.7883081157397</v>
      </c>
      <c r="P28" s="120"/>
      <c r="Q28" s="73">
        <f t="shared" si="5"/>
        <v>-6010.8831607339962</v>
      </c>
      <c r="R28" s="22">
        <f t="shared" si="5"/>
        <v>-3413.5750561630289</v>
      </c>
      <c r="S28" s="74">
        <f t="shared" si="6"/>
        <v>-3284.1436433929512</v>
      </c>
    </row>
    <row r="29" spans="1:19" s="17" customFormat="1" ht="14.5" x14ac:dyDescent="0.35">
      <c r="A29" s="17" t="s">
        <v>24</v>
      </c>
      <c r="C29" s="18">
        <f t="shared" ref="C29:F29" si="8">+C21+C27+C28</f>
        <v>16057.485819762602</v>
      </c>
      <c r="D29" s="18">
        <f t="shared" si="8"/>
        <v>14933.774749722559</v>
      </c>
      <c r="E29" s="18">
        <f t="shared" si="8"/>
        <v>13609.632844093088</v>
      </c>
      <c r="F29" s="18">
        <f t="shared" si="8"/>
        <v>11994.656022457903</v>
      </c>
      <c r="G29" s="18">
        <f>+G21+G27+G28</f>
        <v>18549.227098003135</v>
      </c>
      <c r="H29" s="18">
        <f t="shared" ref="H29:O29" si="9">+H21+H27+H28</f>
        <v>19809.620565220892</v>
      </c>
      <c r="I29" s="18">
        <f t="shared" si="9"/>
        <v>19361.16813856674</v>
      </c>
      <c r="J29" s="18">
        <f t="shared" si="9"/>
        <v>17577.428830551718</v>
      </c>
      <c r="K29" s="18">
        <f t="shared" si="9"/>
        <v>17300.362926277925</v>
      </c>
      <c r="L29" s="18">
        <f t="shared" si="9"/>
        <v>20783.311894681978</v>
      </c>
      <c r="M29" s="18">
        <f t="shared" si="9"/>
        <v>29064.250699612388</v>
      </c>
      <c r="N29" s="129">
        <f t="shared" si="9"/>
        <v>25382.538375207991</v>
      </c>
      <c r="O29" s="129">
        <f t="shared" si="9"/>
        <v>23131.536759434282</v>
      </c>
      <c r="P29" s="129"/>
      <c r="Q29" s="79">
        <f t="shared" si="5"/>
        <v>56595.549436036148</v>
      </c>
      <c r="R29" s="131">
        <f t="shared" si="5"/>
        <v>75297.444632342493</v>
      </c>
      <c r="S29" s="80">
        <f t="shared" si="6"/>
        <v>92530.463895780282</v>
      </c>
    </row>
    <row r="30" spans="1:19" s="21" customFormat="1" ht="14.5" x14ac:dyDescent="0.35">
      <c r="A30" s="19" t="s">
        <v>25</v>
      </c>
      <c r="B30" s="13"/>
      <c r="C30" s="143">
        <f t="shared" ref="C30:O30" si="10">+C29/C10</f>
        <v>0.62212748863958833</v>
      </c>
      <c r="D30" s="143">
        <f t="shared" si="10"/>
        <v>0.56643178818339446</v>
      </c>
      <c r="E30" s="143">
        <f t="shared" si="10"/>
        <v>0.51684880343005679</v>
      </c>
      <c r="F30" s="143">
        <f t="shared" si="10"/>
        <v>0.41524034601288795</v>
      </c>
      <c r="G30" s="143">
        <f t="shared" si="10"/>
        <v>0.61599934410203272</v>
      </c>
      <c r="H30" s="143">
        <f t="shared" si="10"/>
        <v>0.63015392137678627</v>
      </c>
      <c r="I30" s="143">
        <f t="shared" si="10"/>
        <v>0.58194978280292298</v>
      </c>
      <c r="J30" s="143">
        <f t="shared" si="10"/>
        <v>0.56986666620524085</v>
      </c>
      <c r="K30" s="143">
        <f t="shared" si="10"/>
        <v>0.56993905548996759</v>
      </c>
      <c r="L30" s="143">
        <f t="shared" si="10"/>
        <v>0.60483802083649263</v>
      </c>
      <c r="M30" s="143">
        <f t="shared" si="10"/>
        <v>0.72311362654417022</v>
      </c>
      <c r="N30" s="143">
        <f t="shared" si="10"/>
        <v>0.63567109491995299</v>
      </c>
      <c r="O30" s="143">
        <f t="shared" si="10"/>
        <v>0.61975519709106697</v>
      </c>
      <c r="P30" s="143"/>
      <c r="Q30" s="81">
        <f>+Q29/Q10</f>
        <v>0.5269935443808208</v>
      </c>
      <c r="R30" s="132">
        <f>+R29/R10</f>
        <v>0.5992020243118128</v>
      </c>
      <c r="S30" s="82">
        <f>+S29/S10</f>
        <v>0.63884587702230311</v>
      </c>
    </row>
    <row r="31" spans="1:19" ht="14.5" x14ac:dyDescent="0.35">
      <c r="A31" s="13" t="s">
        <v>26</v>
      </c>
      <c r="B31" s="1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145"/>
      <c r="O31" s="145"/>
      <c r="P31" s="145"/>
      <c r="Q31" s="85"/>
      <c r="R31" s="133"/>
      <c r="S31" s="86"/>
    </row>
    <row r="32" spans="1:19" ht="14.5" x14ac:dyDescent="0.35">
      <c r="A32" s="15" t="s">
        <v>27</v>
      </c>
      <c r="C32" s="119">
        <v>-6834.4910188949989</v>
      </c>
      <c r="D32" s="119">
        <v>-9353.4782362999995</v>
      </c>
      <c r="E32" s="119">
        <v>-10702.185356365002</v>
      </c>
      <c r="F32" s="119">
        <v>-13802.10944031</v>
      </c>
      <c r="G32" s="119">
        <v>-16425.276821595002</v>
      </c>
      <c r="H32" s="119">
        <v>-16854.9486952937</v>
      </c>
      <c r="I32" s="119">
        <v>-16142.213017010003</v>
      </c>
      <c r="J32" s="119">
        <v>-14466.232700709999</v>
      </c>
      <c r="K32" s="119">
        <v>-14096.814486400002</v>
      </c>
      <c r="L32" s="119">
        <v>-16207.514946379999</v>
      </c>
      <c r="M32" s="119">
        <v>-23261.526347660001</v>
      </c>
      <c r="N32" s="120">
        <v>-19655.17821554</v>
      </c>
      <c r="O32" s="120">
        <v>-17989.460813890004</v>
      </c>
      <c r="P32" s="120"/>
      <c r="Q32" s="73">
        <f t="shared" ref="Q32:R37" si="11">+SUMIFS($C32:$L32,$C$4:$L$4,Q$5)</f>
        <v>-40692.264051869999</v>
      </c>
      <c r="R32" s="22">
        <f t="shared" si="11"/>
        <v>-63888.671234608701</v>
      </c>
      <c r="S32" s="74">
        <f t="shared" ref="S32:S37" si="12">+SUMIFS($C32:$N32,$C$4:$N$4,S$5)</f>
        <v>-73221.033995980004</v>
      </c>
    </row>
    <row r="33" spans="1:19" ht="14.5" x14ac:dyDescent="0.35">
      <c r="A33" s="15" t="s">
        <v>28</v>
      </c>
      <c r="C33" s="119">
        <v>407.26014374950006</v>
      </c>
      <c r="D33" s="119">
        <v>439.07537405630006</v>
      </c>
      <c r="E33" s="119">
        <v>458.59387155094993</v>
      </c>
      <c r="F33" s="119">
        <v>813.71625586240009</v>
      </c>
      <c r="G33" s="119">
        <v>1277.6061636229501</v>
      </c>
      <c r="H33" s="119">
        <v>1018.3971380537</v>
      </c>
      <c r="I33" s="119">
        <v>883.58551367804989</v>
      </c>
      <c r="J33" s="119">
        <v>3194.910406875741</v>
      </c>
      <c r="K33" s="119">
        <v>1834.1753453508754</v>
      </c>
      <c r="L33" s="119">
        <v>802.37083915884068</v>
      </c>
      <c r="M33" s="119">
        <v>500.03111162934709</v>
      </c>
      <c r="N33" s="120">
        <v>1130.4881345905969</v>
      </c>
      <c r="O33" s="120">
        <v>3088.3682155200754</v>
      </c>
      <c r="P33" s="120"/>
      <c r="Q33" s="73">
        <f t="shared" si="11"/>
        <v>2118.6456452191501</v>
      </c>
      <c r="R33" s="22">
        <f t="shared" si="11"/>
        <v>6374.4992222304409</v>
      </c>
      <c r="S33" s="74">
        <f t="shared" si="12"/>
        <v>4267.06543072966</v>
      </c>
    </row>
    <row r="34" spans="1:19" ht="14.5" x14ac:dyDescent="0.35">
      <c r="A34" s="13" t="s">
        <v>29</v>
      </c>
      <c r="C34" s="22">
        <f t="shared" ref="C34:F34" si="13">+C32+C33</f>
        <v>-6427.2308751454984</v>
      </c>
      <c r="D34" s="22">
        <f t="shared" si="13"/>
        <v>-8914.4028622436999</v>
      </c>
      <c r="E34" s="22">
        <f t="shared" si="13"/>
        <v>-10243.591484814053</v>
      </c>
      <c r="F34" s="22">
        <f t="shared" si="13"/>
        <v>-12988.393184447599</v>
      </c>
      <c r="G34" s="22">
        <f>+G32+G33</f>
        <v>-15147.670657972052</v>
      </c>
      <c r="H34" s="22">
        <f t="shared" ref="H34:O34" si="14">+H32+H33</f>
        <v>-15836.55155724</v>
      </c>
      <c r="I34" s="22">
        <f t="shared" si="14"/>
        <v>-15258.627503331953</v>
      </c>
      <c r="J34" s="22">
        <f t="shared" si="14"/>
        <v>-11271.322293834259</v>
      </c>
      <c r="K34" s="22">
        <f t="shared" si="14"/>
        <v>-12262.639141049127</v>
      </c>
      <c r="L34" s="22">
        <f t="shared" si="14"/>
        <v>-15405.144107221158</v>
      </c>
      <c r="M34" s="22">
        <f t="shared" si="14"/>
        <v>-22761.495236030652</v>
      </c>
      <c r="N34" s="127">
        <f t="shared" si="14"/>
        <v>-18524.690080949404</v>
      </c>
      <c r="O34" s="127">
        <f t="shared" si="14"/>
        <v>-14901.092598369929</v>
      </c>
      <c r="P34" s="127"/>
      <c r="Q34" s="73">
        <f t="shared" si="11"/>
        <v>-38573.61840665085</v>
      </c>
      <c r="R34" s="22">
        <f t="shared" si="11"/>
        <v>-57514.172012378265</v>
      </c>
      <c r="S34" s="74">
        <f t="shared" si="12"/>
        <v>-68953.968565250339</v>
      </c>
    </row>
    <row r="35" spans="1:19" s="17" customFormat="1" ht="14.5" x14ac:dyDescent="0.35">
      <c r="A35" s="17" t="s">
        <v>30</v>
      </c>
      <c r="C35" s="18">
        <f t="shared" ref="C35:E35" si="15">+C34+C29</f>
        <v>9630.2549446171033</v>
      </c>
      <c r="D35" s="18">
        <f t="shared" si="15"/>
        <v>6019.3718874788592</v>
      </c>
      <c r="E35" s="18">
        <f t="shared" si="15"/>
        <v>3366.0413592790355</v>
      </c>
      <c r="F35" s="18">
        <f>+F34+F29</f>
        <v>-993.73716198969669</v>
      </c>
      <c r="G35" s="18">
        <f>+G34+G29</f>
        <v>3401.5564400310832</v>
      </c>
      <c r="H35" s="18">
        <f t="shared" ref="H35:O35" si="16">+H34+H29</f>
        <v>3973.0690079808919</v>
      </c>
      <c r="I35" s="18">
        <f t="shared" si="16"/>
        <v>4102.5406352347873</v>
      </c>
      <c r="J35" s="18">
        <f t="shared" si="16"/>
        <v>6306.1065367174597</v>
      </c>
      <c r="K35" s="18">
        <f t="shared" si="16"/>
        <v>5037.7237852287981</v>
      </c>
      <c r="L35" s="18">
        <f t="shared" si="16"/>
        <v>5378.1677874608195</v>
      </c>
      <c r="M35" s="18">
        <f t="shared" si="16"/>
        <v>6302.755463581736</v>
      </c>
      <c r="N35" s="129">
        <f t="shared" si="16"/>
        <v>6857.848294258587</v>
      </c>
      <c r="O35" s="129">
        <f t="shared" si="16"/>
        <v>8230.4441610643535</v>
      </c>
      <c r="P35" s="129"/>
      <c r="Q35" s="79">
        <f t="shared" si="11"/>
        <v>18021.931029385305</v>
      </c>
      <c r="R35" s="131">
        <f t="shared" si="11"/>
        <v>17783.27261996422</v>
      </c>
      <c r="S35" s="80">
        <f t="shared" si="12"/>
        <v>23576.495330529939</v>
      </c>
    </row>
    <row r="36" spans="1:19" ht="14.5" x14ac:dyDescent="0.35">
      <c r="A36" s="13" t="s">
        <v>31</v>
      </c>
      <c r="B36" s="13"/>
      <c r="C36" s="119">
        <v>10913.168402802899</v>
      </c>
      <c r="D36" s="119">
        <v>16983.711665631101</v>
      </c>
      <c r="E36" s="119">
        <v>811.25400412100032</v>
      </c>
      <c r="F36" s="119">
        <v>4886.566912389595</v>
      </c>
      <c r="G36" s="119">
        <v>5309.0451344888988</v>
      </c>
      <c r="H36" s="119">
        <v>4801.8059030791501</v>
      </c>
      <c r="I36" s="119">
        <v>-12171.928338024896</v>
      </c>
      <c r="J36" s="119">
        <v>1610.5274008525403</v>
      </c>
      <c r="K36" s="119">
        <v>33163.336121111199</v>
      </c>
      <c r="L36" s="119">
        <v>23642.883613989139</v>
      </c>
      <c r="M36" s="119">
        <v>2784.1544544658404</v>
      </c>
      <c r="N36" s="120">
        <v>19940.358572716632</v>
      </c>
      <c r="O36" s="120">
        <f>22321.4931394624-3064.29252576681</f>
        <v>19257.20061369559</v>
      </c>
      <c r="P36" s="120"/>
      <c r="Q36" s="73">
        <f t="shared" si="11"/>
        <v>33594.700984944597</v>
      </c>
      <c r="R36" s="22">
        <f t="shared" si="11"/>
        <v>-450.54989960430703</v>
      </c>
      <c r="S36" s="74">
        <f t="shared" si="12"/>
        <v>79530.732762282816</v>
      </c>
    </row>
    <row r="37" spans="1:19" s="17" customFormat="1" ht="14.5" x14ac:dyDescent="0.35">
      <c r="A37" s="17" t="s">
        <v>32</v>
      </c>
      <c r="C37" s="18">
        <f t="shared" ref="C37:F37" si="17">+C35+C36</f>
        <v>20543.423347420001</v>
      </c>
      <c r="D37" s="18">
        <f t="shared" si="17"/>
        <v>23003.083553109958</v>
      </c>
      <c r="E37" s="18">
        <f t="shared" si="17"/>
        <v>4177.295363400036</v>
      </c>
      <c r="F37" s="18">
        <f t="shared" si="17"/>
        <v>3892.8297503998983</v>
      </c>
      <c r="G37" s="18">
        <f>+G35+G36</f>
        <v>8710.601574519982</v>
      </c>
      <c r="H37" s="18">
        <f t="shared" ref="H37:O37" si="18">+H35+H36</f>
        <v>8774.874911060042</v>
      </c>
      <c r="I37" s="18">
        <f t="shared" si="18"/>
        <v>-8069.387702790109</v>
      </c>
      <c r="J37" s="18">
        <f t="shared" si="18"/>
        <v>7916.6339375699999</v>
      </c>
      <c r="K37" s="18">
        <f t="shared" si="18"/>
        <v>38201.05990634</v>
      </c>
      <c r="L37" s="18">
        <f t="shared" si="18"/>
        <v>29021.051401449957</v>
      </c>
      <c r="M37" s="18">
        <f t="shared" si="18"/>
        <v>9086.9099180475769</v>
      </c>
      <c r="N37" s="129">
        <f t="shared" si="18"/>
        <v>26798.206866975219</v>
      </c>
      <c r="O37" s="129">
        <f t="shared" si="18"/>
        <v>27487.644774759945</v>
      </c>
      <c r="P37" s="129"/>
      <c r="Q37" s="79">
        <f t="shared" si="11"/>
        <v>51616.632014329894</v>
      </c>
      <c r="R37" s="131">
        <f t="shared" si="11"/>
        <v>17332.722720359914</v>
      </c>
      <c r="S37" s="80">
        <f t="shared" si="12"/>
        <v>103107.22809281274</v>
      </c>
    </row>
    <row r="38" spans="1:19" ht="14.5" x14ac:dyDescent="0.35"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S38" s="102"/>
    </row>
    <row r="39" spans="1:19" ht="15.5" x14ac:dyDescent="0.35">
      <c r="A39" s="25"/>
      <c r="B39" s="25"/>
      <c r="G39" s="22"/>
      <c r="H39" s="22"/>
      <c r="I39" s="22"/>
      <c r="J39" s="24"/>
      <c r="K39" s="39"/>
      <c r="L39" s="39"/>
      <c r="M39" s="39"/>
      <c r="N39" s="39"/>
      <c r="O39" s="22"/>
      <c r="P39" s="39"/>
    </row>
    <row r="40" spans="1:19" s="27" customFormat="1" ht="15.5" x14ac:dyDescent="0.35">
      <c r="A40" s="179" t="s">
        <v>33</v>
      </c>
      <c r="B40" s="179"/>
      <c r="G40" s="26"/>
      <c r="H40" s="26"/>
      <c r="I40" s="26"/>
      <c r="J40" s="26"/>
      <c r="K40" s="26"/>
      <c r="O40" s="26"/>
      <c r="Q40" s="87"/>
      <c r="R40" s="134"/>
      <c r="S40" s="88"/>
    </row>
    <row r="41" spans="1:19" ht="14.5" x14ac:dyDescent="0.35">
      <c r="G41" s="6"/>
      <c r="H41" s="6"/>
      <c r="I41" s="6"/>
      <c r="J41" s="6"/>
      <c r="K41" s="2"/>
    </row>
    <row r="42" spans="1:19" s="30" customFormat="1" ht="14.5" x14ac:dyDescent="0.35">
      <c r="A42" s="28" t="s">
        <v>6</v>
      </c>
      <c r="B42" s="28"/>
      <c r="G42" s="29"/>
      <c r="H42" s="29"/>
      <c r="I42" s="29"/>
      <c r="J42" s="29"/>
      <c r="K42" s="29"/>
      <c r="O42" s="183"/>
      <c r="Q42" s="89"/>
      <c r="R42" s="135"/>
      <c r="S42" s="90"/>
    </row>
    <row r="43" spans="1:19" ht="14.5" x14ac:dyDescent="0.35">
      <c r="A43" t="s">
        <v>34</v>
      </c>
      <c r="C43" s="119">
        <v>12548.591816444632</v>
      </c>
      <c r="D43" s="119">
        <v>13178.175956843899</v>
      </c>
      <c r="E43" s="119">
        <v>12766.73946483797</v>
      </c>
      <c r="F43" s="119">
        <v>14209.039508703225</v>
      </c>
      <c r="G43" s="119">
        <v>14580.777838601562</v>
      </c>
      <c r="H43" s="119">
        <v>14860.806467452137</v>
      </c>
      <c r="I43" s="119">
        <v>15361.298364404156</v>
      </c>
      <c r="J43" s="119">
        <v>15076.974254519973</v>
      </c>
      <c r="K43" s="119">
        <v>16297.260168718129</v>
      </c>
      <c r="L43" s="119">
        <v>19427.184541953331</v>
      </c>
      <c r="M43" s="119">
        <v>25649.529419955001</v>
      </c>
      <c r="N43" s="119">
        <v>25208.31156401</v>
      </c>
      <c r="O43" s="119">
        <v>22641.162796322853</v>
      </c>
      <c r="P43" s="119"/>
      <c r="Q43" s="73">
        <f t="shared" ref="Q43:Q47" si="19">+SUMIFS($C43:$L43,$C$4:$L$4,Q$5)</f>
        <v>52702.546746829728</v>
      </c>
      <c r="R43" s="22">
        <f>+SUMIFS($C43:$L43,$C$4:$L$4,R$5)</f>
        <v>59879.856924977823</v>
      </c>
      <c r="S43" s="74">
        <f>+SUMIFS($C43:$N43,$C$4:$N$4,S$5)</f>
        <v>86582.285694636463</v>
      </c>
    </row>
    <row r="44" spans="1:19" ht="14.5" x14ac:dyDescent="0.35">
      <c r="A44" t="s">
        <v>35</v>
      </c>
      <c r="B44" s="119"/>
      <c r="C44" s="119">
        <v>5555.4376590787106</v>
      </c>
      <c r="D44" s="119">
        <v>5560.6744975103502</v>
      </c>
      <c r="E44" s="119">
        <v>5434.9862224999997</v>
      </c>
      <c r="F44" s="119">
        <v>5990.275117324758</v>
      </c>
      <c r="G44" s="119">
        <v>6596.1614820799996</v>
      </c>
      <c r="H44" s="119">
        <v>7082.7158536699999</v>
      </c>
      <c r="I44" s="119">
        <v>7431.9674054000006</v>
      </c>
      <c r="J44" s="119">
        <v>7196.0335660951387</v>
      </c>
      <c r="K44" s="119">
        <v>6874.7116296531503</v>
      </c>
      <c r="L44" s="119">
        <v>7326.6499251894593</v>
      </c>
      <c r="M44" s="119">
        <v>7392.1025844684809</v>
      </c>
      <c r="N44" s="119">
        <v>7576.8350710367949</v>
      </c>
      <c r="O44" s="119">
        <v>7415.9021894404241</v>
      </c>
      <c r="P44" s="119"/>
      <c r="Q44" s="73">
        <f t="shared" si="19"/>
        <v>22541.37349641382</v>
      </c>
      <c r="R44" s="22">
        <f>+SUMIFS($C44:$L44,$C$4:$L$4,R$5)</f>
        <v>28306.878307245141</v>
      </c>
      <c r="S44" s="74">
        <f>+SUMIFS($C44:$N44,$C$4:$N$4,S$5)</f>
        <v>29170.299210347886</v>
      </c>
    </row>
    <row r="45" spans="1:19" ht="14.5" x14ac:dyDescent="0.35">
      <c r="A45" t="s">
        <v>36</v>
      </c>
      <c r="C45" s="119">
        <v>6155.9783673976199</v>
      </c>
      <c r="D45" s="119">
        <v>5849.6456202518602</v>
      </c>
      <c r="E45" s="119">
        <v>6415.3460400000004</v>
      </c>
      <c r="F45" s="119">
        <v>6659.87906191</v>
      </c>
      <c r="G45" s="119">
        <v>7158.7476480900004</v>
      </c>
      <c r="H45" s="119">
        <v>7062.6746735099996</v>
      </c>
      <c r="I45" s="119">
        <v>7773.9051643435578</v>
      </c>
      <c r="J45" s="119">
        <v>5388.195310321008</v>
      </c>
      <c r="K45" s="119">
        <v>4983.0334478566465</v>
      </c>
      <c r="L45" s="119">
        <v>5014.6548002962836</v>
      </c>
      <c r="M45" s="119">
        <v>4962.3743047461166</v>
      </c>
      <c r="N45" s="119">
        <v>4792.7961479438791</v>
      </c>
      <c r="O45" s="119">
        <v>5251.4760275592098</v>
      </c>
      <c r="P45" s="119"/>
      <c r="Q45" s="73">
        <f t="shared" si="19"/>
        <v>25080.84908955948</v>
      </c>
      <c r="R45" s="22">
        <f>+SUMIFS($C45:$L45,$C$4:$L$4,R$5)</f>
        <v>27383.522796264562</v>
      </c>
      <c r="S45" s="74">
        <f>+SUMIFS($C45:$N45,$C$4:$N$4,S$5)</f>
        <v>19752.858700842924</v>
      </c>
    </row>
    <row r="46" spans="1:19" ht="14.5" x14ac:dyDescent="0.35">
      <c r="A46" t="s">
        <v>37</v>
      </c>
      <c r="C46" s="119">
        <v>1550.5954706790371</v>
      </c>
      <c r="D46" s="119">
        <v>1776.1519929338881</v>
      </c>
      <c r="E46" s="119">
        <v>1714.8705230320259</v>
      </c>
      <c r="F46" s="119">
        <v>2026.8626349358642</v>
      </c>
      <c r="G46" s="119">
        <v>1776.7267466084354</v>
      </c>
      <c r="H46" s="119">
        <v>2429.9647004978665</v>
      </c>
      <c r="I46" s="119">
        <v>2702.3116066222838</v>
      </c>
      <c r="J46" s="119">
        <v>3183.6064937438819</v>
      </c>
      <c r="K46" s="119">
        <v>2199.7541962620735</v>
      </c>
      <c r="L46" s="119">
        <v>2593.2921991734224</v>
      </c>
      <c r="M46" s="119">
        <v>2189.1938086504001</v>
      </c>
      <c r="N46" s="119">
        <v>2352.3585600400002</v>
      </c>
      <c r="O46" s="119">
        <v>2015.1262475675114</v>
      </c>
      <c r="P46" s="119"/>
      <c r="Q46" s="73">
        <f t="shared" si="19"/>
        <v>7068.4806215808148</v>
      </c>
      <c r="R46" s="22">
        <f>+SUMIFS($C46:$L46,$C$4:$L$4,R$5)</f>
        <v>10092.609547472468</v>
      </c>
      <c r="S46" s="74">
        <f>+SUMIFS($C46:$N46,$C$4:$N$4,S$5)</f>
        <v>9334.5987641258962</v>
      </c>
    </row>
    <row r="47" spans="1:19" s="31" customFormat="1" ht="14.5" x14ac:dyDescent="0.35">
      <c r="A47" s="31" t="s">
        <v>38</v>
      </c>
      <c r="C47" s="32">
        <f t="shared" ref="C47:O47" si="20">+SUM(C43:C46)</f>
        <v>25810.603313599997</v>
      </c>
      <c r="D47" s="32">
        <f t="shared" si="20"/>
        <v>26364.648067539998</v>
      </c>
      <c r="E47" s="32">
        <f t="shared" si="20"/>
        <v>26331.942250369997</v>
      </c>
      <c r="F47" s="32">
        <f t="shared" si="20"/>
        <v>28886.056322873847</v>
      </c>
      <c r="G47" s="32">
        <f t="shared" si="20"/>
        <v>30112.413715379997</v>
      </c>
      <c r="H47" s="32">
        <f t="shared" si="20"/>
        <v>31436.161695130002</v>
      </c>
      <c r="I47" s="32">
        <f t="shared" si="20"/>
        <v>33269.482540770005</v>
      </c>
      <c r="J47" s="32">
        <f t="shared" si="20"/>
        <v>30844.809624680001</v>
      </c>
      <c r="K47" s="32">
        <f t="shared" si="20"/>
        <v>30354.759442490002</v>
      </c>
      <c r="L47" s="32">
        <f t="shared" si="20"/>
        <v>34361.781466612498</v>
      </c>
      <c r="M47" s="32">
        <f t="shared" si="20"/>
        <v>40193.200117820001</v>
      </c>
      <c r="N47" s="32">
        <f t="shared" si="20"/>
        <v>39930.301343030675</v>
      </c>
      <c r="O47" s="32">
        <f t="shared" si="20"/>
        <v>37323.667260889997</v>
      </c>
      <c r="P47" s="32"/>
      <c r="Q47" s="110">
        <f t="shared" si="19"/>
        <v>107393.24995438383</v>
      </c>
      <c r="R47" s="136">
        <f>+SUMIFS($C47:$L47,$C$4:$L$4,R$5)</f>
        <v>125662.86757596</v>
      </c>
      <c r="S47" s="91">
        <f>+SUMIFS($C47:$N47,$C$4:$N$4,S$5)</f>
        <v>144840.04236995318</v>
      </c>
    </row>
    <row r="48" spans="1:19" ht="14.5" x14ac:dyDescent="0.35">
      <c r="E48" s="119"/>
      <c r="G48" s="33"/>
      <c r="H48" s="33"/>
      <c r="I48" s="33"/>
      <c r="J48" s="33"/>
      <c r="K48" s="33"/>
      <c r="L48" s="33"/>
      <c r="M48" s="33"/>
      <c r="N48" s="33"/>
      <c r="O48" s="33"/>
      <c r="P48" s="33"/>
      <c r="R48" s="33"/>
      <c r="S48" s="92"/>
    </row>
    <row r="49" spans="1:19" s="30" customFormat="1" ht="14.5" x14ac:dyDescent="0.35">
      <c r="A49" s="28" t="s">
        <v>16</v>
      </c>
      <c r="B49" s="28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89"/>
      <c r="R49" s="137"/>
      <c r="S49" s="93"/>
    </row>
    <row r="50" spans="1:19" ht="14.5" x14ac:dyDescent="0.35">
      <c r="A50" t="s">
        <v>34</v>
      </c>
      <c r="C50" s="119">
        <v>11125.099849408054</v>
      </c>
      <c r="D50" s="119">
        <v>10861.701841302194</v>
      </c>
      <c r="E50" s="119">
        <v>10457.827275549367</v>
      </c>
      <c r="F50" s="119">
        <v>8321.0448702379708</v>
      </c>
      <c r="G50" s="119">
        <v>12227.307243858604</v>
      </c>
      <c r="H50" s="119">
        <v>12406.527082594434</v>
      </c>
      <c r="I50" s="119">
        <v>11906.244080725392</v>
      </c>
      <c r="J50" s="119">
        <v>12076.21218941072</v>
      </c>
      <c r="K50" s="119">
        <v>13446.488045936669</v>
      </c>
      <c r="L50" s="119">
        <v>15664.909820117511</v>
      </c>
      <c r="M50" s="119">
        <v>22749.668178068761</v>
      </c>
      <c r="N50" s="119">
        <v>21868.823255820313</v>
      </c>
      <c r="O50" s="119">
        <v>19559.826640628671</v>
      </c>
      <c r="P50" s="119"/>
      <c r="Q50" s="73">
        <f t="shared" ref="Q50:Q54" si="21">+SUMIFS($C50:$L50,$C$4:$L$4,Q$5)</f>
        <v>40765.67383649759</v>
      </c>
      <c r="R50" s="22">
        <f>+SUMIFS($C50:$L50,$C$4:$L$4,R$5)</f>
        <v>48616.290596589148</v>
      </c>
      <c r="S50" s="74">
        <f>+SUMIFS($C50:$N50,$C$4:$N$4,S$5)</f>
        <v>73729.889299943257</v>
      </c>
    </row>
    <row r="51" spans="1:19" ht="14.5" x14ac:dyDescent="0.35">
      <c r="A51" t="s">
        <v>39</v>
      </c>
      <c r="C51" s="119">
        <v>4340.9506916714627</v>
      </c>
      <c r="D51" s="119">
        <v>4280.8989899626013</v>
      </c>
      <c r="E51" s="119">
        <v>4193.935765472268</v>
      </c>
      <c r="F51" s="119">
        <v>3936.1017632314133</v>
      </c>
      <c r="G51" s="119">
        <v>5250.9665794181319</v>
      </c>
      <c r="H51" s="119">
        <v>5536.8159996424502</v>
      </c>
      <c r="I51" s="119">
        <v>6148.0565739547437</v>
      </c>
      <c r="J51" s="119">
        <v>6229.8241195979626</v>
      </c>
      <c r="K51" s="119">
        <v>5919.0738102677133</v>
      </c>
      <c r="L51" s="119">
        <v>6190.7100330421781</v>
      </c>
      <c r="M51" s="119">
        <v>6379.6596333546513</v>
      </c>
      <c r="N51" s="119">
        <v>6549.4231577508735</v>
      </c>
      <c r="O51" s="119">
        <v>6556.8463584568653</v>
      </c>
      <c r="P51" s="119"/>
      <c r="Q51" s="73">
        <f t="shared" si="21"/>
        <v>16751.887210337743</v>
      </c>
      <c r="R51" s="22">
        <f>+SUMIFS($C51:$L51,$C$4:$L$4,R$5)</f>
        <v>23165.663272613288</v>
      </c>
      <c r="S51" s="74">
        <f>+SUMIFS($C51:$N51,$C$4:$N$4,S$5)</f>
        <v>25038.866634415415</v>
      </c>
    </row>
    <row r="52" spans="1:19" ht="14.5" x14ac:dyDescent="0.35">
      <c r="A52" t="s">
        <v>36</v>
      </c>
      <c r="C52" s="119">
        <v>5221.3390300431083</v>
      </c>
      <c r="D52" s="119">
        <v>4720.7729272445158</v>
      </c>
      <c r="E52" s="119">
        <v>5211.3566777207034</v>
      </c>
      <c r="F52" s="119">
        <v>5210.8616839905126</v>
      </c>
      <c r="G52" s="119">
        <v>5994.9527165000609</v>
      </c>
      <c r="H52" s="119">
        <v>5816.7597348644449</v>
      </c>
      <c r="I52" s="119">
        <v>6407.2599343874717</v>
      </c>
      <c r="J52" s="119">
        <v>4072.2989788628197</v>
      </c>
      <c r="K52" s="119">
        <v>4064.4613815669481</v>
      </c>
      <c r="L52" s="119">
        <v>4151.4758713424117</v>
      </c>
      <c r="M52" s="119">
        <v>3959.7330578298679</v>
      </c>
      <c r="N52" s="119">
        <v>3713.2809138044377</v>
      </c>
      <c r="O52" s="119">
        <v>4449.7136176155791</v>
      </c>
      <c r="P52" s="119"/>
      <c r="Q52" s="73">
        <f t="shared" si="21"/>
        <v>20364.33031899884</v>
      </c>
      <c r="R52" s="22">
        <f>+SUMIFS($C52:$L52,$C$4:$L$4,R$5)</f>
        <v>22291.271364614797</v>
      </c>
      <c r="S52" s="74">
        <f>+SUMIFS($C52:$N52,$C$4:$N$4,S$5)</f>
        <v>15888.951224543665</v>
      </c>
    </row>
    <row r="53" spans="1:19" ht="14.5" x14ac:dyDescent="0.35">
      <c r="A53" t="s">
        <v>37</v>
      </c>
      <c r="C53" s="119">
        <v>827.09930468497623</v>
      </c>
      <c r="D53" s="119">
        <v>1558.9538797032887</v>
      </c>
      <c r="E53" s="119">
        <v>968.12563848325146</v>
      </c>
      <c r="F53" s="119">
        <v>1611.6361098536863</v>
      </c>
      <c r="G53" s="119">
        <v>695.13657567766097</v>
      </c>
      <c r="H53" s="119">
        <v>1767.9684648324355</v>
      </c>
      <c r="I53" s="119">
        <v>1545.1597538979436</v>
      </c>
      <c r="J53" s="119">
        <v>2161.461886174468</v>
      </c>
      <c r="K53" s="119">
        <v>899.86109678980233</v>
      </c>
      <c r="L53" s="119">
        <v>1026.5437317901694</v>
      </c>
      <c r="M53" s="119">
        <v>641.73622854040013</v>
      </c>
      <c r="N53" s="119">
        <v>1029.8437222805549</v>
      </c>
      <c r="O53" s="119">
        <v>521.83472055466109</v>
      </c>
      <c r="P53" s="119"/>
      <c r="Q53" s="73">
        <f t="shared" si="21"/>
        <v>4965.8149327252031</v>
      </c>
      <c r="R53" s="22">
        <f>+SUMIFS($C53:$L53,$C$4:$L$4,R$5)</f>
        <v>6169.7266805825075</v>
      </c>
      <c r="S53" s="74">
        <f>+SUMIFS($C53:$N53,$C$4:$N$4,S$5)</f>
        <v>3597.9847794009265</v>
      </c>
    </row>
    <row r="54" spans="1:19" s="31" customFormat="1" ht="14.5" x14ac:dyDescent="0.35">
      <c r="A54" s="31" t="s">
        <v>40</v>
      </c>
      <c r="C54" s="32">
        <f t="shared" ref="C54:F54" si="22">+SUM(C50:C53)</f>
        <v>21514.488875807601</v>
      </c>
      <c r="D54" s="32">
        <f t="shared" si="22"/>
        <v>21422.327638212599</v>
      </c>
      <c r="E54" s="32">
        <f t="shared" si="22"/>
        <v>20831.245357225591</v>
      </c>
      <c r="F54" s="32">
        <f t="shared" si="22"/>
        <v>19079.644427313582</v>
      </c>
      <c r="G54" s="32">
        <f>+SUM(G50:G53)</f>
        <v>24168.36311545446</v>
      </c>
      <c r="H54" s="32">
        <f t="shared" ref="H54:O54" si="23">+SUM(H50:H53)</f>
        <v>25528.071281933764</v>
      </c>
      <c r="I54" s="32">
        <f t="shared" si="23"/>
        <v>26006.720342965549</v>
      </c>
      <c r="J54" s="32">
        <f t="shared" si="23"/>
        <v>24539.797174045969</v>
      </c>
      <c r="K54" s="32">
        <f t="shared" si="23"/>
        <v>24329.884334561131</v>
      </c>
      <c r="L54" s="32">
        <f t="shared" si="23"/>
        <v>27033.639456292272</v>
      </c>
      <c r="M54" s="32">
        <f t="shared" si="23"/>
        <v>33730.797097793686</v>
      </c>
      <c r="N54" s="32">
        <f t="shared" si="23"/>
        <v>33161.371049656176</v>
      </c>
      <c r="O54" s="32">
        <f t="shared" si="23"/>
        <v>31088.221337255778</v>
      </c>
      <c r="P54" s="32"/>
      <c r="Q54" s="110">
        <f t="shared" si="21"/>
        <v>82847.70629855938</v>
      </c>
      <c r="R54" s="136">
        <f>+SUMIFS($C54:$L54,$C$4:$L$4,R$5)</f>
        <v>100242.95191439975</v>
      </c>
      <c r="S54" s="91">
        <f>+SUMIFS($C54:$N54,$C$4:$N$4,S$5)</f>
        <v>118255.69193830327</v>
      </c>
    </row>
    <row r="55" spans="1:19" ht="14.5" x14ac:dyDescent="0.35">
      <c r="G55" s="34"/>
      <c r="H55" s="34"/>
      <c r="I55" s="34"/>
      <c r="J55" s="34"/>
      <c r="K55" s="34"/>
      <c r="L55" s="34"/>
      <c r="M55" s="34"/>
      <c r="N55" s="34"/>
      <c r="O55" s="34"/>
      <c r="P55" s="34"/>
      <c r="R55" s="34"/>
      <c r="S55" s="94"/>
    </row>
    <row r="56" spans="1:19" s="30" customFormat="1" ht="14.5" x14ac:dyDescent="0.35">
      <c r="A56" s="28" t="s">
        <v>17</v>
      </c>
      <c r="B56" s="28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89"/>
      <c r="R56" s="137"/>
      <c r="S56" s="93"/>
    </row>
    <row r="57" spans="1:19" ht="14.5" x14ac:dyDescent="0.35">
      <c r="A57" t="s">
        <v>34</v>
      </c>
      <c r="C57" s="35">
        <v>0.90716794496578601</v>
      </c>
      <c r="D57" s="35">
        <v>0.84536618574850886</v>
      </c>
      <c r="E57" s="35">
        <v>0.84102768190797916</v>
      </c>
      <c r="F57" s="35">
        <v>0.60758701873578003</v>
      </c>
      <c r="G57" s="35">
        <v>0.83859087486318362</v>
      </c>
      <c r="H57" s="35">
        <v>0.83484884281125515</v>
      </c>
      <c r="I57" s="35">
        <v>0.77508058227129029</v>
      </c>
      <c r="J57" s="35">
        <v>0.80097053862052958</v>
      </c>
      <c r="K57" s="35">
        <v>0.82507660224671442</v>
      </c>
      <c r="L57" s="35">
        <v>0.80633968274141199</v>
      </c>
      <c r="M57" s="35">
        <v>0.88694290665503639</v>
      </c>
      <c r="N57" s="35">
        <f>+N50/N43</f>
        <v>0.86752431634661764</v>
      </c>
      <c r="O57" s="35">
        <f>+O50/O43</f>
        <v>0.8639055695410387</v>
      </c>
      <c r="P57" s="35"/>
      <c r="Q57" s="115">
        <f>+Q50/Q43</f>
        <v>0.77350481813195893</v>
      </c>
      <c r="R57" s="138">
        <f>+R50/R43</f>
        <v>0.81189724046100253</v>
      </c>
      <c r="S57" s="95">
        <f>+S50/S43</f>
        <v>0.85155859201936757</v>
      </c>
    </row>
    <row r="58" spans="1:19" ht="14.5" x14ac:dyDescent="0.35">
      <c r="A58" t="s">
        <v>39</v>
      </c>
      <c r="C58" s="35">
        <v>0.78725079853681945</v>
      </c>
      <c r="D58" s="35">
        <v>0.7807028643803432</v>
      </c>
      <c r="E58" s="35">
        <v>0.77347120432875527</v>
      </c>
      <c r="F58" s="35">
        <v>0.66445325803520294</v>
      </c>
      <c r="G58" s="35">
        <v>0.79606398261831501</v>
      </c>
      <c r="H58" s="35">
        <v>0.78173628789209126</v>
      </c>
      <c r="I58" s="35">
        <v>0.82724482476707595</v>
      </c>
      <c r="J58" s="35">
        <v>0.86573027521028079</v>
      </c>
      <c r="K58" s="35">
        <v>0.86099230471523769</v>
      </c>
      <c r="L58" s="35">
        <v>0.84495780421528643</v>
      </c>
      <c r="M58" s="35">
        <v>0.86303721579282877</v>
      </c>
      <c r="N58" s="35">
        <f t="shared" ref="N58:O60" si="24">+N51/N44</f>
        <v>0.86440091361981664</v>
      </c>
      <c r="O58" s="35">
        <f t="shared" si="24"/>
        <v>0.88416030726419548</v>
      </c>
      <c r="P58" s="35"/>
      <c r="Q58" s="115">
        <f t="shared" ref="Q58:S61" si="25">+Q51/Q44</f>
        <v>0.74316177818547102</v>
      </c>
      <c r="R58" s="138">
        <f t="shared" si="25"/>
        <v>0.81837576793778921</v>
      </c>
      <c r="S58" s="95">
        <f t="shared" si="25"/>
        <v>0.85836852251186768</v>
      </c>
    </row>
    <row r="59" spans="1:19" ht="14.5" x14ac:dyDescent="0.35">
      <c r="A59" t="s">
        <v>36</v>
      </c>
      <c r="C59" s="35">
        <v>0.86169272931401242</v>
      </c>
      <c r="D59" s="35">
        <v>0.8110467211981558</v>
      </c>
      <c r="E59" s="35">
        <v>0.81272503433980048</v>
      </c>
      <c r="F59" s="35">
        <v>0.79799762671252561</v>
      </c>
      <c r="G59" s="35">
        <v>0.83743037346756499</v>
      </c>
      <c r="H59" s="35">
        <v>0.82359162835028876</v>
      </c>
      <c r="I59" s="35">
        <v>0.82420093877341671</v>
      </c>
      <c r="J59" s="35">
        <v>0.75578161969414726</v>
      </c>
      <c r="K59" s="35">
        <v>0.81566006411520187</v>
      </c>
      <c r="L59" s="35">
        <v>0.82786872410382617</v>
      </c>
      <c r="M59" s="35">
        <v>0.79795130610012588</v>
      </c>
      <c r="N59" s="35">
        <f t="shared" si="24"/>
        <v>0.77476295656710625</v>
      </c>
      <c r="O59" s="35">
        <f t="shared" si="24"/>
        <v>0.84732627441579023</v>
      </c>
      <c r="P59" s="35"/>
      <c r="Q59" s="115">
        <f t="shared" si="25"/>
        <v>0.81194740442324154</v>
      </c>
      <c r="R59" s="138">
        <f t="shared" si="25"/>
        <v>0.81403957885417111</v>
      </c>
      <c r="S59" s="95">
        <f t="shared" si="25"/>
        <v>0.80438742893784931</v>
      </c>
    </row>
    <row r="60" spans="1:19" ht="14.5" x14ac:dyDescent="0.35">
      <c r="A60" t="s">
        <v>37</v>
      </c>
      <c r="C60" s="35">
        <v>0.55609335244766855</v>
      </c>
      <c r="D60" s="35">
        <v>0.90186298896826034</v>
      </c>
      <c r="E60" s="35">
        <v>0.60102531930703851</v>
      </c>
      <c r="F60" s="35">
        <v>0.81570646686236947</v>
      </c>
      <c r="G60" s="35">
        <v>0.39124563020430453</v>
      </c>
      <c r="H60" s="35">
        <v>0.72756960809768267</v>
      </c>
      <c r="I60" s="35">
        <v>0.5717918503962961</v>
      </c>
      <c r="J60" s="35">
        <v>0.67893500356340075</v>
      </c>
      <c r="K60" s="35">
        <v>0.40907347662701993</v>
      </c>
      <c r="L60" s="35">
        <v>0.39584576397421262</v>
      </c>
      <c r="M60" s="35">
        <v>0.29313815250373804</v>
      </c>
      <c r="N60" s="35">
        <f t="shared" si="24"/>
        <v>0.43779198451066198</v>
      </c>
      <c r="O60" s="35">
        <f t="shared" si="24"/>
        <v>0.25895882264675746</v>
      </c>
      <c r="P60" s="35"/>
      <c r="Q60" s="115">
        <f t="shared" si="25"/>
        <v>0.70252932682082314</v>
      </c>
      <c r="R60" s="138">
        <f t="shared" si="25"/>
        <v>0.61131134138916698</v>
      </c>
      <c r="S60" s="95">
        <f t="shared" si="25"/>
        <v>0.38544610971694471</v>
      </c>
    </row>
    <row r="61" spans="1:19" s="31" customFormat="1" ht="14.5" x14ac:dyDescent="0.35">
      <c r="A61" s="31" t="s">
        <v>41</v>
      </c>
      <c r="C61" s="36">
        <v>0.8335523433685601</v>
      </c>
      <c r="D61" s="36">
        <v>0.81253986714837467</v>
      </c>
      <c r="E61" s="36">
        <v>0.79110174096378649</v>
      </c>
      <c r="F61" s="36">
        <v>0.66051399381247777</v>
      </c>
      <c r="G61" s="36">
        <v>0.80260464484487337</v>
      </c>
      <c r="H61" s="36">
        <v>0.81206069397106129</v>
      </c>
      <c r="I61" s="36">
        <v>0.7816989732586217</v>
      </c>
      <c r="J61" s="36">
        <v>0.79558919223838653</v>
      </c>
      <c r="K61" s="36">
        <v>0.80151794253736153</v>
      </c>
      <c r="L61" s="36">
        <v>0.78673567850099524</v>
      </c>
      <c r="M61" s="36">
        <v>0.8392165092333328</v>
      </c>
      <c r="N61" s="36">
        <f>+N54/N47</f>
        <v>0.83048136213086887</v>
      </c>
      <c r="O61" s="36">
        <f>+O54/O47</f>
        <v>0.8329358720286284</v>
      </c>
      <c r="P61" s="36"/>
      <c r="Q61" s="116">
        <f>+Q54/Q47</f>
        <v>0.77144239823033223</v>
      </c>
      <c r="R61" s="139">
        <f t="shared" si="25"/>
        <v>0.79771338859353524</v>
      </c>
      <c r="S61" s="96">
        <f t="shared" si="25"/>
        <v>0.81645717581504385</v>
      </c>
    </row>
    <row r="62" spans="1:19" ht="14.5" x14ac:dyDescent="0.35">
      <c r="A62" s="13"/>
      <c r="Q62"/>
      <c r="S62"/>
    </row>
    <row r="63" spans="1:19" ht="15.5" x14ac:dyDescent="0.35">
      <c r="A63" s="25"/>
      <c r="B63" s="25"/>
      <c r="G63" s="37"/>
      <c r="H63" s="37"/>
      <c r="I63" s="37"/>
      <c r="J63" s="37"/>
      <c r="K63" s="2"/>
    </row>
    <row r="64" spans="1:19" s="112" customFormat="1" ht="15.5" x14ac:dyDescent="0.35">
      <c r="A64" s="180" t="s">
        <v>42</v>
      </c>
      <c r="B64" s="180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113"/>
      <c r="S64" s="114"/>
    </row>
    <row r="65" spans="1:19" ht="7.5" customHeight="1" x14ac:dyDescent="0.35">
      <c r="G65" s="2"/>
      <c r="H65" s="2"/>
      <c r="I65" s="2"/>
      <c r="J65" s="2"/>
      <c r="K65" s="2"/>
    </row>
    <row r="66" spans="1:19" ht="7.5" customHeight="1" x14ac:dyDescent="0.35">
      <c r="G66" s="2"/>
      <c r="H66" s="2"/>
      <c r="I66" s="2"/>
      <c r="J66" s="2"/>
      <c r="K66" s="2"/>
    </row>
    <row r="67" spans="1:19" ht="14.5" x14ac:dyDescent="0.35">
      <c r="A67" t="s">
        <v>43</v>
      </c>
      <c r="B67" s="39"/>
      <c r="C67" s="119">
        <v>5144.3464053999996</v>
      </c>
      <c r="D67" s="119">
        <v>8862.956584290001</v>
      </c>
      <c r="E67" s="119">
        <v>5682.99571259</v>
      </c>
      <c r="F67" s="119">
        <v>4403.3029134099997</v>
      </c>
      <c r="G67" s="119">
        <v>5500.2154932100011</v>
      </c>
      <c r="H67" s="119">
        <v>3306.7231891599999</v>
      </c>
      <c r="I67" s="119">
        <v>46063.756934369994</v>
      </c>
      <c r="J67" s="119">
        <v>62142.656514120004</v>
      </c>
      <c r="K67" s="119">
        <v>37467.310870209993</v>
      </c>
      <c r="L67" s="119">
        <v>4458.3217775499998</v>
      </c>
      <c r="M67" s="119">
        <v>16127.97454976</v>
      </c>
      <c r="N67" s="120">
        <v>117486.09382992001</v>
      </c>
      <c r="O67" s="120">
        <v>115444.92687917</v>
      </c>
      <c r="P67" s="120"/>
      <c r="Q67" s="73">
        <f>+F67</f>
        <v>4403.3029134099997</v>
      </c>
      <c r="R67" s="22">
        <f>+J67</f>
        <v>62142.656514120004</v>
      </c>
      <c r="S67" s="74">
        <f>+N67</f>
        <v>117486.09382992001</v>
      </c>
    </row>
    <row r="68" spans="1:19" ht="6" customHeight="1" x14ac:dyDescent="0.35">
      <c r="B68" s="3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144"/>
      <c r="O68" s="144"/>
      <c r="P68" s="144"/>
      <c r="Q68" s="83"/>
      <c r="R68" s="2"/>
      <c r="S68" s="84"/>
    </row>
    <row r="69" spans="1:19" s="12" customFormat="1" ht="14.5" x14ac:dyDescent="0.35">
      <c r="A69" s="11" t="s">
        <v>44</v>
      </c>
      <c r="B69" s="40"/>
      <c r="C69" s="12">
        <f t="shared" ref="C69:F69" si="26">+C67</f>
        <v>5144.3464053999996</v>
      </c>
      <c r="D69" s="12">
        <f t="shared" si="26"/>
        <v>8862.956584290001</v>
      </c>
      <c r="E69" s="12">
        <f t="shared" si="26"/>
        <v>5682.99571259</v>
      </c>
      <c r="F69" s="12">
        <f t="shared" si="26"/>
        <v>4403.3029134099997</v>
      </c>
      <c r="G69" s="12">
        <f>+G67</f>
        <v>5500.2154932100011</v>
      </c>
      <c r="H69" s="12">
        <f t="shared" ref="H69:O69" si="27">+H67</f>
        <v>3306.7231891599999</v>
      </c>
      <c r="I69" s="12">
        <f t="shared" si="27"/>
        <v>46063.756934369994</v>
      </c>
      <c r="J69" s="12">
        <f t="shared" si="27"/>
        <v>62142.656514120004</v>
      </c>
      <c r="K69" s="12">
        <f t="shared" si="27"/>
        <v>37467.310870209993</v>
      </c>
      <c r="L69" s="12">
        <f t="shared" si="27"/>
        <v>4458.3217775499998</v>
      </c>
      <c r="M69" s="12">
        <f t="shared" si="27"/>
        <v>16127.97454976</v>
      </c>
      <c r="N69" s="146">
        <f t="shared" si="27"/>
        <v>117486.09382992001</v>
      </c>
      <c r="O69" s="146">
        <f t="shared" si="27"/>
        <v>115444.92687917</v>
      </c>
      <c r="P69" s="146"/>
      <c r="Q69" s="71">
        <f>+Q67</f>
        <v>4403.3029134099997</v>
      </c>
      <c r="R69" s="12">
        <f>+R67</f>
        <v>62142.656514120004</v>
      </c>
      <c r="S69" s="72">
        <f>+S67</f>
        <v>117486.09382992001</v>
      </c>
    </row>
    <row r="70" spans="1:19" ht="8.5" customHeight="1" x14ac:dyDescent="0.35">
      <c r="B70" s="39"/>
      <c r="C70" s="2"/>
      <c r="D70" s="2"/>
      <c r="E70" s="2"/>
      <c r="F70" s="2"/>
      <c r="G70" s="22"/>
      <c r="H70" s="2"/>
      <c r="I70" s="2"/>
      <c r="J70" s="2"/>
      <c r="K70" s="2"/>
      <c r="L70" s="2"/>
      <c r="M70" s="2"/>
      <c r="N70" s="144"/>
      <c r="O70" s="144"/>
      <c r="P70" s="144"/>
      <c r="Q70" s="83"/>
      <c r="R70" s="2"/>
      <c r="S70" s="84"/>
    </row>
    <row r="71" spans="1:19" ht="14.5" x14ac:dyDescent="0.35">
      <c r="A71" t="s">
        <v>45</v>
      </c>
      <c r="B71" s="39"/>
      <c r="C71" s="119">
        <f>(647146-C78)</f>
        <v>640349.54813687003</v>
      </c>
      <c r="D71" s="119">
        <f>(651076-D78)</f>
        <v>643431.16971186001</v>
      </c>
      <c r="E71" s="119">
        <f>(690802-E78)</f>
        <v>641843.67454644002</v>
      </c>
      <c r="F71" s="119">
        <f>(704378-F78)</f>
        <v>598551.70051133004</v>
      </c>
      <c r="G71" s="119">
        <v>667092.24470947566</v>
      </c>
      <c r="H71" s="119">
        <v>689852.9042974253</v>
      </c>
      <c r="I71" s="119">
        <v>697368.89411293343</v>
      </c>
      <c r="J71" s="119">
        <v>710775.98075751495</v>
      </c>
      <c r="K71" s="119">
        <v>1106211.3048082276</v>
      </c>
      <c r="L71" s="119">
        <v>1136927.2303370319</v>
      </c>
      <c r="M71" s="119">
        <v>1153662.4189267838</v>
      </c>
      <c r="N71" s="147">
        <v>1046956.184053135</v>
      </c>
      <c r="O71" s="185">
        <v>1054920.1997285101</v>
      </c>
      <c r="P71" s="147"/>
      <c r="Q71" s="73">
        <f>+F71</f>
        <v>598551.70051133004</v>
      </c>
      <c r="R71" s="22">
        <f>+J71</f>
        <v>710775.98075751495</v>
      </c>
      <c r="S71" s="74">
        <f>+N71</f>
        <v>1046956.184053135</v>
      </c>
    </row>
    <row r="72" spans="1:19" ht="14" customHeight="1" x14ac:dyDescent="0.35">
      <c r="A72" t="s">
        <v>46</v>
      </c>
      <c r="B72" s="39"/>
      <c r="C72" s="119">
        <v>359861</v>
      </c>
      <c r="D72" s="119">
        <v>362843</v>
      </c>
      <c r="E72" s="119">
        <v>363293</v>
      </c>
      <c r="F72" s="119">
        <v>362799</v>
      </c>
      <c r="G72" s="119">
        <v>363363.81</v>
      </c>
      <c r="H72" s="119">
        <v>367452.52</v>
      </c>
      <c r="I72" s="119">
        <v>334006.88444985996</v>
      </c>
      <c r="J72" s="119">
        <v>325723.58113045996</v>
      </c>
      <c r="K72" s="119">
        <v>329806.28479359997</v>
      </c>
      <c r="L72" s="119">
        <v>342795.81185299001</v>
      </c>
      <c r="M72" s="119">
        <v>342605.13726698997</v>
      </c>
      <c r="N72" s="147">
        <v>347753.43806448998</v>
      </c>
      <c r="O72" s="185">
        <v>344230.91700000002</v>
      </c>
      <c r="P72" s="147"/>
      <c r="Q72" s="73">
        <f>+F72</f>
        <v>362799</v>
      </c>
      <c r="R72" s="22">
        <f>+J72</f>
        <v>325723.58113045996</v>
      </c>
      <c r="S72" s="74">
        <f>+N72</f>
        <v>347753.43806448998</v>
      </c>
    </row>
    <row r="73" spans="1:19" ht="14" customHeight="1" x14ac:dyDescent="0.35">
      <c r="A73" t="s">
        <v>47</v>
      </c>
      <c r="B73" s="39"/>
      <c r="C73" s="119">
        <v>336739</v>
      </c>
      <c r="D73" s="119">
        <v>346647</v>
      </c>
      <c r="E73" s="119">
        <v>346647</v>
      </c>
      <c r="F73" s="119">
        <v>348758</v>
      </c>
      <c r="G73" s="119">
        <v>347414.21129900002</v>
      </c>
      <c r="H73" s="119">
        <v>311626.21129900002</v>
      </c>
      <c r="I73" s="119">
        <v>191010.191299</v>
      </c>
      <c r="J73" s="119">
        <v>175648.28972299999</v>
      </c>
      <c r="K73" s="119">
        <v>177496.86</v>
      </c>
      <c r="L73" s="119">
        <v>196378.20015312117</v>
      </c>
      <c r="M73" s="119">
        <v>202157.96814492118</v>
      </c>
      <c r="N73" s="147">
        <v>203632.92250060008</v>
      </c>
      <c r="O73" s="185">
        <v>209295.92250059999</v>
      </c>
      <c r="P73" s="147"/>
      <c r="Q73" s="73">
        <f>+F73</f>
        <v>348758</v>
      </c>
      <c r="R73" s="22">
        <f>+J73</f>
        <v>175648.28972299999</v>
      </c>
      <c r="S73" s="74">
        <f>+N73</f>
        <v>203632.92250060008</v>
      </c>
    </row>
    <row r="74" spans="1:19" ht="14" customHeight="1" x14ac:dyDescent="0.35">
      <c r="A74" t="s">
        <v>48</v>
      </c>
      <c r="B74" s="39"/>
      <c r="C74" s="119">
        <v>99941</v>
      </c>
      <c r="D74" s="119">
        <v>99941</v>
      </c>
      <c r="E74" s="119">
        <v>99941</v>
      </c>
      <c r="F74" s="119">
        <v>99941</v>
      </c>
      <c r="G74" s="119">
        <v>94867.920000124956</v>
      </c>
      <c r="H74" s="119">
        <v>113071.04604926001</v>
      </c>
      <c r="I74" s="119">
        <v>113425.75472721001</v>
      </c>
      <c r="J74" s="119">
        <v>113425.75472721001</v>
      </c>
      <c r="K74" s="119">
        <v>113425.75472721001</v>
      </c>
      <c r="L74" s="119">
        <v>113441.51462885001</v>
      </c>
      <c r="M74" s="119">
        <v>115379.75472736001</v>
      </c>
      <c r="N74" s="147">
        <v>115379.75472736001</v>
      </c>
      <c r="O74" s="185">
        <v>131431</v>
      </c>
      <c r="P74" s="147"/>
      <c r="Q74" s="73">
        <f>+F74</f>
        <v>99941</v>
      </c>
      <c r="R74" s="22">
        <f>+J74</f>
        <v>113425.75472721001</v>
      </c>
      <c r="S74" s="74">
        <f>+N74</f>
        <v>115379.75472736001</v>
      </c>
    </row>
    <row r="75" spans="1:19" ht="14" customHeight="1" x14ac:dyDescent="0.35">
      <c r="B75" s="39"/>
      <c r="C75" s="2"/>
      <c r="D75" s="2"/>
      <c r="E75" s="2"/>
      <c r="F75" s="2"/>
      <c r="G75" s="22"/>
      <c r="H75" s="22"/>
      <c r="I75" s="22"/>
      <c r="J75" s="22"/>
      <c r="K75" s="22"/>
      <c r="L75" s="22"/>
      <c r="M75" s="22"/>
      <c r="N75" s="127"/>
      <c r="O75" s="127"/>
      <c r="P75" s="127"/>
      <c r="Q75" s="73"/>
      <c r="R75" s="22"/>
      <c r="S75" s="74"/>
    </row>
    <row r="76" spans="1:19" s="12" customFormat="1" ht="14.5" x14ac:dyDescent="0.35">
      <c r="A76" s="11" t="s">
        <v>49</v>
      </c>
      <c r="B76" s="40"/>
      <c r="C76" s="12">
        <f t="shared" ref="C76:F76" si="28">+SUM(C71:C74)</f>
        <v>1436890.5481368699</v>
      </c>
      <c r="D76" s="12">
        <f t="shared" si="28"/>
        <v>1452862.1697118599</v>
      </c>
      <c r="E76" s="12">
        <f t="shared" si="28"/>
        <v>1451724.6745464401</v>
      </c>
      <c r="F76" s="12">
        <f t="shared" si="28"/>
        <v>1410049.70051133</v>
      </c>
      <c r="G76" s="12">
        <f>+SUM(G71:G74)</f>
        <v>1472738.1860086008</v>
      </c>
      <c r="H76" s="12">
        <f t="shared" ref="H76:O76" si="29">+SUM(H71:H74)</f>
        <v>1482002.6816456856</v>
      </c>
      <c r="I76" s="12">
        <f t="shared" si="29"/>
        <v>1335811.7245890033</v>
      </c>
      <c r="J76" s="12">
        <f t="shared" si="29"/>
        <v>1325573.6063381848</v>
      </c>
      <c r="K76" s="12">
        <f t="shared" si="29"/>
        <v>1726940.2043290376</v>
      </c>
      <c r="L76" s="12">
        <f t="shared" si="29"/>
        <v>1789542.756971993</v>
      </c>
      <c r="M76" s="12">
        <f t="shared" si="29"/>
        <v>1813805.2790660551</v>
      </c>
      <c r="N76" s="146">
        <f t="shared" si="29"/>
        <v>1713722.2993455853</v>
      </c>
      <c r="O76" s="146">
        <f t="shared" si="29"/>
        <v>1739878.0392291103</v>
      </c>
      <c r="P76" s="146"/>
      <c r="Q76" s="71">
        <f>+SUM(Q70:Q74)</f>
        <v>1410049.70051133</v>
      </c>
      <c r="R76" s="12">
        <f>+SUM(R71:R74)</f>
        <v>1325573.6063381848</v>
      </c>
      <c r="S76" s="72">
        <f>+SUM(S71:S74)</f>
        <v>1713722.2993455853</v>
      </c>
    </row>
    <row r="77" spans="1:19" ht="13" customHeight="1" x14ac:dyDescent="0.35">
      <c r="A77" s="13"/>
      <c r="B77" s="42"/>
      <c r="C77" s="2"/>
      <c r="D77" s="2"/>
      <c r="E77" s="2"/>
      <c r="F77" s="2"/>
      <c r="G77" s="43"/>
      <c r="H77" s="43"/>
      <c r="I77" s="43"/>
      <c r="J77" s="43"/>
      <c r="K77" s="2"/>
      <c r="L77" s="2"/>
      <c r="M77" s="2"/>
      <c r="N77" s="144"/>
      <c r="O77" s="144"/>
      <c r="P77" s="144"/>
      <c r="Q77" s="108"/>
      <c r="R77" s="43"/>
      <c r="S77" s="97"/>
    </row>
    <row r="78" spans="1:19" ht="14.5" x14ac:dyDescent="0.35">
      <c r="A78" t="s">
        <v>50</v>
      </c>
      <c r="B78" s="39"/>
      <c r="C78" s="119">
        <v>6796.4518631299998</v>
      </c>
      <c r="D78" s="119">
        <v>7644.8302881400004</v>
      </c>
      <c r="E78" s="119">
        <v>48958.325453559999</v>
      </c>
      <c r="F78" s="119">
        <v>105826.29948867</v>
      </c>
      <c r="G78" s="119">
        <v>137955.74345809</v>
      </c>
      <c r="H78" s="119">
        <v>237276.61889532002</v>
      </c>
      <c r="I78" s="119">
        <v>306633.40264448</v>
      </c>
      <c r="J78" s="119">
        <v>360374.15420081001</v>
      </c>
      <c r="K78" s="43"/>
      <c r="L78" s="22"/>
      <c r="M78" s="22"/>
      <c r="N78" s="127"/>
      <c r="O78" s="127"/>
      <c r="P78" s="127"/>
      <c r="Q78" s="73">
        <f>+F78</f>
        <v>105826.29948867</v>
      </c>
      <c r="R78" s="22">
        <f>+J78</f>
        <v>360374.15420081001</v>
      </c>
      <c r="S78" s="74">
        <f>+N78</f>
        <v>0</v>
      </c>
    </row>
    <row r="79" spans="1:19" ht="10.5" customHeight="1" x14ac:dyDescent="0.35">
      <c r="A79" s="13"/>
      <c r="B79" s="42"/>
      <c r="C79" s="2"/>
      <c r="D79" s="2"/>
      <c r="E79" s="2"/>
      <c r="F79" s="2"/>
      <c r="G79" s="43"/>
      <c r="H79" s="43"/>
      <c r="I79" s="43"/>
      <c r="J79" s="43"/>
      <c r="K79" s="43"/>
      <c r="L79" s="2"/>
      <c r="M79" s="2"/>
      <c r="N79" s="144"/>
      <c r="O79" s="144"/>
      <c r="P79" s="144"/>
      <c r="Q79" s="108"/>
      <c r="R79" s="43"/>
      <c r="S79" s="97"/>
    </row>
    <row r="80" spans="1:19" s="41" customFormat="1" ht="14.5" x14ac:dyDescent="0.35">
      <c r="A80" s="11" t="s">
        <v>51</v>
      </c>
      <c r="B80" s="40"/>
      <c r="C80" s="12">
        <f t="shared" ref="C80:F80" si="30">+C78</f>
        <v>6796.4518631299998</v>
      </c>
      <c r="D80" s="12">
        <f t="shared" si="30"/>
        <v>7644.8302881400004</v>
      </c>
      <c r="E80" s="12">
        <f t="shared" si="30"/>
        <v>48958.325453559999</v>
      </c>
      <c r="F80" s="12">
        <f t="shared" si="30"/>
        <v>105826.29948867</v>
      </c>
      <c r="G80" s="12">
        <f>+G78</f>
        <v>137955.74345809</v>
      </c>
      <c r="H80" s="12">
        <f t="shared" ref="H80:J80" si="31">+H78</f>
        <v>237276.61889532002</v>
      </c>
      <c r="I80" s="12">
        <f t="shared" si="31"/>
        <v>306633.40264448</v>
      </c>
      <c r="J80" s="12">
        <f t="shared" si="31"/>
        <v>360374.15420081001</v>
      </c>
      <c r="K80" s="12"/>
      <c r="L80" s="53"/>
      <c r="M80" s="53"/>
      <c r="N80" s="148"/>
      <c r="O80" s="148"/>
      <c r="P80" s="148"/>
      <c r="Q80" s="71">
        <f>+Q78</f>
        <v>105826.29948867</v>
      </c>
      <c r="R80" s="12">
        <f>+R78</f>
        <v>360374.15420081001</v>
      </c>
      <c r="S80" s="72">
        <f>+S78</f>
        <v>0</v>
      </c>
    </row>
    <row r="81" spans="1:19" ht="14.5" x14ac:dyDescent="0.35">
      <c r="B81" s="4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144"/>
      <c r="O81" s="144"/>
      <c r="P81" s="144"/>
      <c r="Q81" s="83"/>
      <c r="R81" s="2"/>
      <c r="S81" s="84"/>
    </row>
    <row r="82" spans="1:19" ht="14.5" x14ac:dyDescent="0.35">
      <c r="A82" t="s">
        <v>52</v>
      </c>
      <c r="B82" s="44"/>
      <c r="C82" s="119">
        <v>362496.39735678496</v>
      </c>
      <c r="D82" s="119">
        <v>388711.55371146498</v>
      </c>
      <c r="E82" s="119">
        <v>397875.65703402506</v>
      </c>
      <c r="F82" s="119">
        <v>463255.69575705013</v>
      </c>
      <c r="G82" s="119">
        <v>480901.26947485009</v>
      </c>
      <c r="H82" s="119">
        <v>602575.49292931007</v>
      </c>
      <c r="I82" s="119">
        <v>550864.93125778006</v>
      </c>
      <c r="J82" s="119">
        <v>610902.43115770991</v>
      </c>
      <c r="K82" s="119">
        <v>613982.04483857006</v>
      </c>
      <c r="L82" s="119">
        <v>613677.32884745998</v>
      </c>
      <c r="M82" s="119">
        <v>623683.14951999998</v>
      </c>
      <c r="N82" s="120">
        <v>629607.32844777999</v>
      </c>
      <c r="O82" s="120">
        <v>628184.57235442009</v>
      </c>
      <c r="P82" s="120"/>
      <c r="Q82" s="73">
        <f>+F82</f>
        <v>463255.69575705013</v>
      </c>
      <c r="R82" s="22">
        <f>+J82</f>
        <v>610902.43115770991</v>
      </c>
      <c r="S82" s="74">
        <f>+N82</f>
        <v>629607.32844777999</v>
      </c>
    </row>
    <row r="83" spans="1:19" ht="14.5" x14ac:dyDescent="0.35">
      <c r="B83" s="44"/>
      <c r="C83" s="2"/>
      <c r="D83" s="2"/>
      <c r="E83" s="2"/>
      <c r="F83" s="2"/>
      <c r="G83" s="22"/>
      <c r="H83" s="22"/>
      <c r="I83" s="22"/>
      <c r="J83" s="22"/>
      <c r="K83" s="45"/>
      <c r="L83" s="2"/>
      <c r="M83" s="2"/>
      <c r="N83" s="144"/>
      <c r="O83" s="144"/>
      <c r="P83" s="144"/>
      <c r="Q83" s="73"/>
      <c r="R83" s="22"/>
      <c r="S83" s="74"/>
    </row>
    <row r="84" spans="1:19" s="41" customFormat="1" ht="14.5" x14ac:dyDescent="0.35">
      <c r="A84" s="11" t="s">
        <v>53</v>
      </c>
      <c r="B84" s="46"/>
      <c r="C84" s="12">
        <f t="shared" ref="C84:F84" si="32">+C82</f>
        <v>362496.39735678496</v>
      </c>
      <c r="D84" s="12">
        <f t="shared" si="32"/>
        <v>388711.55371146498</v>
      </c>
      <c r="E84" s="12">
        <f t="shared" si="32"/>
        <v>397875.65703402506</v>
      </c>
      <c r="F84" s="12">
        <f t="shared" si="32"/>
        <v>463255.69575705013</v>
      </c>
      <c r="G84" s="12">
        <f>+G82</f>
        <v>480901.26947485009</v>
      </c>
      <c r="H84" s="12">
        <f t="shared" ref="H84:O84" si="33">+H82</f>
        <v>602575.49292931007</v>
      </c>
      <c r="I84" s="12">
        <f t="shared" si="33"/>
        <v>550864.93125778006</v>
      </c>
      <c r="J84" s="12">
        <f t="shared" si="33"/>
        <v>610902.43115770991</v>
      </c>
      <c r="K84" s="12">
        <f t="shared" si="33"/>
        <v>613982.04483857006</v>
      </c>
      <c r="L84" s="12">
        <f t="shared" si="33"/>
        <v>613677.32884745998</v>
      </c>
      <c r="M84" s="12">
        <f t="shared" si="33"/>
        <v>623683.14951999998</v>
      </c>
      <c r="N84" s="146">
        <f t="shared" si="33"/>
        <v>629607.32844777999</v>
      </c>
      <c r="O84" s="146">
        <f t="shared" si="33"/>
        <v>628184.57235442009</v>
      </c>
      <c r="P84" s="146"/>
      <c r="Q84" s="71">
        <f>+Q82</f>
        <v>463255.69575705013</v>
      </c>
      <c r="R84" s="12">
        <f>+R82</f>
        <v>610902.43115770991</v>
      </c>
      <c r="S84" s="72">
        <f>+S82</f>
        <v>629607.32844777999</v>
      </c>
    </row>
    <row r="85" spans="1:19" ht="6" customHeight="1" x14ac:dyDescent="0.35">
      <c r="B85" s="39"/>
      <c r="C85" s="2"/>
      <c r="D85" s="2"/>
      <c r="E85" s="2"/>
      <c r="F85" s="2"/>
      <c r="G85" s="22"/>
      <c r="H85" s="2"/>
      <c r="I85" s="2"/>
      <c r="J85" s="2"/>
      <c r="K85" s="2"/>
      <c r="L85" s="2"/>
      <c r="M85" s="2"/>
      <c r="N85" s="144"/>
      <c r="O85" s="144"/>
      <c r="P85" s="144"/>
      <c r="Q85" s="83"/>
      <c r="R85" s="2"/>
      <c r="S85" s="84"/>
    </row>
    <row r="86" spans="1:19" ht="14.5" x14ac:dyDescent="0.35">
      <c r="A86" s="47" t="s">
        <v>54</v>
      </c>
      <c r="B86" s="39"/>
      <c r="C86" s="119">
        <v>1126488.4793440001</v>
      </c>
      <c r="D86" s="119">
        <v>1150989.17397729</v>
      </c>
      <c r="E86" s="119">
        <v>1149098.17417435</v>
      </c>
      <c r="F86" s="119">
        <v>1146057.58718733</v>
      </c>
      <c r="G86" s="119">
        <v>1154764.76911318</v>
      </c>
      <c r="H86" s="119">
        <v>1176320.2526575301</v>
      </c>
      <c r="I86" s="119">
        <v>1169065.4888118899</v>
      </c>
      <c r="J86" s="119">
        <v>1170333.32900822</v>
      </c>
      <c r="K86" s="119">
        <v>1196708.96373856</v>
      </c>
      <c r="L86" s="119">
        <v>1220635.44615383</v>
      </c>
      <c r="M86" s="119">
        <v>1224142.66835028</v>
      </c>
      <c r="N86" s="120">
        <v>1232014.1822241801</v>
      </c>
      <c r="O86" s="120">
        <v>1247047.4994178701</v>
      </c>
      <c r="P86" s="120"/>
      <c r="Q86" s="73">
        <f>+F86</f>
        <v>1146057.58718733</v>
      </c>
      <c r="R86" s="22">
        <f>+J86</f>
        <v>1170333.32900822</v>
      </c>
      <c r="S86" s="74">
        <f>+N86</f>
        <v>1232014.1822241801</v>
      </c>
    </row>
    <row r="87" spans="1:19" ht="8.5" customHeight="1" x14ac:dyDescent="0.35">
      <c r="B87" s="48"/>
      <c r="C87" s="2"/>
      <c r="D87" s="2"/>
      <c r="E87" s="2"/>
      <c r="F87" s="2"/>
      <c r="G87" s="34"/>
      <c r="H87" s="2"/>
      <c r="I87" s="2"/>
      <c r="J87" s="2"/>
      <c r="K87" s="2"/>
      <c r="L87" s="2"/>
      <c r="M87" s="2"/>
      <c r="N87" s="120"/>
      <c r="O87" s="120"/>
      <c r="P87" s="120"/>
      <c r="Q87" s="83"/>
      <c r="R87" s="2"/>
      <c r="S87" s="84"/>
    </row>
    <row r="88" spans="1:19" s="41" customFormat="1" ht="14.5" x14ac:dyDescent="0.35">
      <c r="A88" s="11" t="s">
        <v>55</v>
      </c>
      <c r="B88" s="46"/>
      <c r="C88" s="12">
        <f t="shared" ref="C88:F88" si="34">+C86</f>
        <v>1126488.4793440001</v>
      </c>
      <c r="D88" s="12">
        <f t="shared" si="34"/>
        <v>1150989.17397729</v>
      </c>
      <c r="E88" s="12">
        <f t="shared" si="34"/>
        <v>1149098.17417435</v>
      </c>
      <c r="F88" s="12">
        <f t="shared" si="34"/>
        <v>1146057.58718733</v>
      </c>
      <c r="G88" s="12">
        <f>+G86</f>
        <v>1154764.76911318</v>
      </c>
      <c r="H88" s="12">
        <f t="shared" ref="H88:O88" si="35">+H86</f>
        <v>1176320.2526575301</v>
      </c>
      <c r="I88" s="12">
        <f t="shared" si="35"/>
        <v>1169065.4888118899</v>
      </c>
      <c r="J88" s="12">
        <f t="shared" si="35"/>
        <v>1170333.32900822</v>
      </c>
      <c r="K88" s="12">
        <f t="shared" si="35"/>
        <v>1196708.96373856</v>
      </c>
      <c r="L88" s="12">
        <f t="shared" si="35"/>
        <v>1220635.44615383</v>
      </c>
      <c r="M88" s="12">
        <f t="shared" si="35"/>
        <v>1224142.66835028</v>
      </c>
      <c r="N88" s="146">
        <f t="shared" si="35"/>
        <v>1232014.1822241801</v>
      </c>
      <c r="O88" s="146">
        <f t="shared" si="35"/>
        <v>1247047.4994178701</v>
      </c>
      <c r="P88" s="146"/>
      <c r="Q88" s="71">
        <f>+Q86</f>
        <v>1146057.58718733</v>
      </c>
      <c r="R88" s="12">
        <f>+R86</f>
        <v>1170333.32900822</v>
      </c>
      <c r="S88" s="72">
        <f>+S86</f>
        <v>1232014.1822241801</v>
      </c>
    </row>
    <row r="89" spans="1:19" ht="14.5" x14ac:dyDescent="0.35">
      <c r="A89" s="13"/>
      <c r="B89" s="49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9" ht="14.5" x14ac:dyDescent="0.35">
      <c r="A90" s="13"/>
      <c r="B90" s="49"/>
      <c r="G90" s="43"/>
      <c r="H90" s="43"/>
      <c r="I90" s="43"/>
      <c r="J90" s="43"/>
      <c r="K90" s="43"/>
    </row>
    <row r="91" spans="1:19" s="38" customFormat="1" ht="15.5" x14ac:dyDescent="0.35">
      <c r="A91" s="180" t="s">
        <v>56</v>
      </c>
      <c r="B91" s="180"/>
      <c r="Q91" s="99"/>
      <c r="S91" s="100"/>
    </row>
    <row r="92" spans="1:19" ht="14.5" x14ac:dyDescent="0.35">
      <c r="A92" s="13"/>
      <c r="B92" s="49"/>
      <c r="G92" s="43"/>
      <c r="H92" s="43"/>
      <c r="I92" s="43"/>
      <c r="J92" s="43"/>
      <c r="K92" s="43"/>
    </row>
    <row r="93" spans="1:19" s="41" customFormat="1" ht="14.5" x14ac:dyDescent="0.35">
      <c r="A93" s="11" t="s">
        <v>57</v>
      </c>
      <c r="G93" s="50"/>
      <c r="H93" s="50"/>
      <c r="I93" s="50"/>
      <c r="J93" s="50"/>
      <c r="K93" s="51"/>
      <c r="O93" s="53"/>
      <c r="Q93" s="98"/>
      <c r="S93" s="101"/>
    </row>
    <row r="94" spans="1:19" ht="16" customHeight="1" x14ac:dyDescent="0.35">
      <c r="A94" s="15" t="s">
        <v>58</v>
      </c>
      <c r="C94" s="24">
        <v>4.1688978620487038E-2</v>
      </c>
      <c r="D94" s="24">
        <v>4.7857240345631213E-2</v>
      </c>
      <c r="E94" s="24">
        <v>4.1855763376821287E-2</v>
      </c>
      <c r="F94" s="24">
        <v>4.7676978789351177E-2</v>
      </c>
      <c r="G94" s="24">
        <v>3.6388359105682389E-2</v>
      </c>
      <c r="H94" s="24">
        <v>2.2428138105033746E-2</v>
      </c>
      <c r="I94" s="24">
        <v>1.2401805736383276E-2</v>
      </c>
      <c r="J94" s="52">
        <v>1.5082941694706253E-2</v>
      </c>
      <c r="K94" s="24">
        <v>4.0516004661239613E-2</v>
      </c>
      <c r="L94" s="35">
        <v>5.7804751949254607E-2</v>
      </c>
      <c r="M94" s="35">
        <v>7.229179326591284E-2</v>
      </c>
      <c r="N94" s="165">
        <v>8.9256083333192571E-2</v>
      </c>
      <c r="O94" s="165">
        <v>7.8399999999999997E-2</v>
      </c>
      <c r="P94" s="165"/>
      <c r="Q94" s="106">
        <f>+F94</f>
        <v>4.7676978789351177E-2</v>
      </c>
      <c r="R94" s="140">
        <v>1.5082941694706253E-2</v>
      </c>
      <c r="S94" s="163">
        <f>+N94</f>
        <v>8.9256083333192571E-2</v>
      </c>
    </row>
    <row r="95" spans="1:19" ht="16" customHeight="1" x14ac:dyDescent="0.35">
      <c r="A95" s="15" t="s">
        <v>59</v>
      </c>
      <c r="C95" s="52">
        <v>7.7498342228597972E-2</v>
      </c>
      <c r="D95" s="52">
        <v>8.2919425288256132E-2</v>
      </c>
      <c r="E95" s="52">
        <v>5.9396916626064611E-2</v>
      </c>
      <c r="F95" s="52">
        <v>4.7676978789351177E-2</v>
      </c>
      <c r="G95" s="52">
        <v>3.1182964608948538E-2</v>
      </c>
      <c r="H95" s="24">
        <v>3.0935102204716403E-2</v>
      </c>
      <c r="I95" s="24">
        <v>1.1979153072354976E-2</v>
      </c>
      <c r="J95" s="24">
        <v>1.5082941694706253E-2</v>
      </c>
      <c r="K95" s="24">
        <v>0.13890046956950064</v>
      </c>
      <c r="L95" s="35">
        <v>0.11995111233489886</v>
      </c>
      <c r="M95" s="35">
        <v>8.8887365763453241E-2</v>
      </c>
      <c r="N95" s="35">
        <v>8.9256083333192571E-2</v>
      </c>
      <c r="O95" s="35">
        <v>9.4299999999999995E-2</v>
      </c>
      <c r="P95" s="35"/>
      <c r="Q95" s="106">
        <f>+F95</f>
        <v>4.7676978789351177E-2</v>
      </c>
      <c r="R95" s="140">
        <v>1.5082941694706253E-2</v>
      </c>
      <c r="S95" s="163">
        <f>+N95</f>
        <v>8.9256083333192571E-2</v>
      </c>
    </row>
    <row r="96" spans="1:19" ht="16" customHeight="1" x14ac:dyDescent="0.35">
      <c r="A96" s="15" t="s">
        <v>60</v>
      </c>
      <c r="C96" s="52">
        <v>0</v>
      </c>
      <c r="D96" s="52">
        <v>8.4522042471874247E-3</v>
      </c>
      <c r="E96" s="52">
        <v>5.412560876227177E-3</v>
      </c>
      <c r="F96" s="52">
        <v>6.1341150992858624E-3</v>
      </c>
      <c r="G96" s="52">
        <v>0</v>
      </c>
      <c r="H96" s="24">
        <v>0</v>
      </c>
      <c r="I96" s="24">
        <v>0</v>
      </c>
      <c r="J96" s="24">
        <v>5.0000000000000001E-3</v>
      </c>
      <c r="K96" s="24">
        <v>0.01</v>
      </c>
      <c r="L96" s="24">
        <v>4.3E-3</v>
      </c>
      <c r="M96" s="24">
        <v>4.7066983939250961E-3</v>
      </c>
      <c r="N96" s="24">
        <v>1.6E-2</v>
      </c>
      <c r="O96" s="24">
        <v>0.01</v>
      </c>
      <c r="P96" s="102"/>
      <c r="Q96" s="140">
        <f t="shared" ref="Q96:S97" si="36">+SUMIFS($C96:$N96,$C$4:$N$4,Q$5)</f>
        <v>1.9998880222700466E-2</v>
      </c>
      <c r="R96" s="140">
        <f t="shared" si="36"/>
        <v>5.0000000000000001E-3</v>
      </c>
      <c r="S96" s="102">
        <f t="shared" si="36"/>
        <v>3.5006698393925097E-2</v>
      </c>
    </row>
    <row r="97" spans="1:19" ht="16" customHeight="1" x14ac:dyDescent="0.35">
      <c r="A97" s="15" t="s">
        <v>99</v>
      </c>
      <c r="C97" s="119">
        <v>0</v>
      </c>
      <c r="D97" s="119">
        <v>9347.6813989999991</v>
      </c>
      <c r="E97" s="119">
        <v>5986</v>
      </c>
      <c r="F97" s="119">
        <v>6784</v>
      </c>
      <c r="G97" s="119">
        <v>0</v>
      </c>
      <c r="H97" s="119">
        <v>0</v>
      </c>
      <c r="I97" s="119">
        <v>0</v>
      </c>
      <c r="J97" s="119">
        <v>5730.2879359999997</v>
      </c>
      <c r="K97" s="119">
        <v>11703.33329</v>
      </c>
      <c r="L97" s="119">
        <v>5037.7237850000001</v>
      </c>
      <c r="M97" s="119">
        <v>5508.4059999999999</v>
      </c>
      <c r="N97" s="119">
        <v>18712.202000000001</v>
      </c>
      <c r="O97" s="119">
        <v>12320.141822</v>
      </c>
      <c r="P97" s="119"/>
      <c r="Q97" s="73">
        <f>+SUMIFS($C97:$N97,$C$4:$N$4,Q$5)</f>
        <v>22117.681399000001</v>
      </c>
      <c r="R97" s="22">
        <f t="shared" si="36"/>
        <v>5730.2879359999997</v>
      </c>
      <c r="S97" s="74">
        <f t="shared" si="36"/>
        <v>40961.665074999997</v>
      </c>
    </row>
    <row r="98" spans="1:19" s="41" customFormat="1" ht="16" customHeight="1" x14ac:dyDescent="0.35">
      <c r="A98" s="11" t="s">
        <v>61</v>
      </c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105"/>
      <c r="R98" s="53"/>
      <c r="S98" s="103"/>
    </row>
    <row r="99" spans="1:19" ht="16" customHeight="1" x14ac:dyDescent="0.35">
      <c r="A99" s="15" t="s">
        <v>62</v>
      </c>
      <c r="C99" s="52">
        <v>0.253</v>
      </c>
      <c r="D99" s="52">
        <v>0.26800000000000002</v>
      </c>
      <c r="E99" s="52">
        <v>0.26</v>
      </c>
      <c r="F99" s="52">
        <v>0.28999999999999998</v>
      </c>
      <c r="G99" s="52">
        <v>0.29315440311640345</v>
      </c>
      <c r="H99" s="52">
        <v>0.34399311255224613</v>
      </c>
      <c r="I99" s="52">
        <v>0.32202185107593068</v>
      </c>
      <c r="J99" s="52">
        <v>0.34682628123594916</v>
      </c>
      <c r="K99" s="52">
        <v>0.34569595631372191</v>
      </c>
      <c r="L99" s="24">
        <v>0.33886516198511674</v>
      </c>
      <c r="M99" s="24">
        <v>0.33856908112855066</v>
      </c>
      <c r="N99" s="24">
        <v>0.34120966507739875</v>
      </c>
      <c r="O99" s="24">
        <v>0.33594091987767072</v>
      </c>
      <c r="P99" s="24"/>
      <c r="Q99" s="109">
        <f>+F99</f>
        <v>0.28999999999999998</v>
      </c>
      <c r="R99" s="52">
        <f>+J99</f>
        <v>0.34682628123594916</v>
      </c>
      <c r="S99" s="104">
        <f>+N99</f>
        <v>0.34120966507739875</v>
      </c>
    </row>
    <row r="100" spans="1:19" s="41" customFormat="1" ht="16" customHeight="1" x14ac:dyDescent="0.35">
      <c r="A100" s="11" t="s">
        <v>63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105"/>
      <c r="R100" s="53"/>
      <c r="S100" s="103"/>
    </row>
    <row r="101" spans="1:19" ht="16" customHeight="1" x14ac:dyDescent="0.35">
      <c r="A101" s="15" t="s">
        <v>64</v>
      </c>
      <c r="C101" s="52">
        <v>0.11214188399234662</v>
      </c>
      <c r="D101" s="52">
        <v>0.30661067435710043</v>
      </c>
      <c r="E101" s="52">
        <v>0.38649112035658856</v>
      </c>
      <c r="F101" s="52">
        <v>0.19475632129396442</v>
      </c>
      <c r="G101" s="52">
        <v>0.11649732667008381</v>
      </c>
      <c r="H101" s="24">
        <v>0.29707193637899787</v>
      </c>
      <c r="I101" s="24">
        <v>0.20628667465985601</v>
      </c>
      <c r="J101" s="24">
        <v>0.38014406229106235</v>
      </c>
      <c r="K101" s="24">
        <v>0.33755015602067556</v>
      </c>
      <c r="L101" s="24">
        <v>0.22797450645147868</v>
      </c>
      <c r="M101" s="24">
        <v>0.24159827719802721</v>
      </c>
      <c r="N101" s="24">
        <v>0.193</v>
      </c>
      <c r="O101" s="24">
        <v>0.29299999999999998</v>
      </c>
      <c r="P101" s="24"/>
      <c r="Q101" s="161">
        <f>+SUM(C101:F101)</f>
        <v>1</v>
      </c>
      <c r="R101" s="162">
        <f>+SUM(G101:J101)</f>
        <v>1</v>
      </c>
      <c r="S101" s="164">
        <f>+SUM(K101:N101)</f>
        <v>1.0001229396701814</v>
      </c>
    </row>
    <row r="102" spans="1:19" ht="16" customHeight="1" x14ac:dyDescent="0.35">
      <c r="A102" s="11" t="s">
        <v>90</v>
      </c>
      <c r="B102" s="41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105"/>
      <c r="R102" s="53"/>
      <c r="S102" s="103"/>
    </row>
    <row r="103" spans="1:19" ht="16" customHeight="1" x14ac:dyDescent="0.35">
      <c r="A103" s="15" t="s">
        <v>90</v>
      </c>
      <c r="C103" s="24">
        <v>8.8999999999999996E-2</v>
      </c>
      <c r="D103" s="24">
        <v>0.109</v>
      </c>
      <c r="E103" s="24">
        <v>0.14499999999999999</v>
      </c>
      <c r="F103" s="24">
        <v>0.157</v>
      </c>
      <c r="G103" s="24">
        <v>0.16817614275948348</v>
      </c>
      <c r="H103" s="24">
        <v>0.16818639409335101</v>
      </c>
      <c r="I103" s="24">
        <v>0.16685550941734406</v>
      </c>
      <c r="J103" s="24">
        <v>0.16311088997662976</v>
      </c>
      <c r="K103" s="24">
        <v>0.15330739306111477</v>
      </c>
      <c r="L103" s="24">
        <v>0.14830963919704399</v>
      </c>
      <c r="M103" s="24">
        <v>0.13836474140510158</v>
      </c>
      <c r="N103" s="24">
        <v>0.12652339606784466</v>
      </c>
      <c r="O103" s="24">
        <v>0.12540000000000001</v>
      </c>
      <c r="P103" s="24"/>
      <c r="Q103" s="109">
        <f>+F103</f>
        <v>0.157</v>
      </c>
      <c r="R103" s="52">
        <v>0.16311088997662976</v>
      </c>
      <c r="S103" s="104">
        <f>+N103</f>
        <v>0.12652339606784466</v>
      </c>
    </row>
    <row r="104" spans="1:19" ht="16" customHeight="1" x14ac:dyDescent="0.35">
      <c r="A104" s="11" t="s">
        <v>91</v>
      </c>
      <c r="B104" s="41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105"/>
      <c r="R104" s="53"/>
      <c r="S104" s="103"/>
    </row>
    <row r="105" spans="1:19" s="24" customFormat="1" ht="16" customHeight="1" x14ac:dyDescent="0.35">
      <c r="A105" s="15" t="s">
        <v>91</v>
      </c>
      <c r="B105"/>
      <c r="C105" s="24">
        <v>6.0645947760524614E-2</v>
      </c>
      <c r="D105" s="24">
        <v>5.9929732419182584E-2</v>
      </c>
      <c r="E105" s="24">
        <v>5.9496378480562245E-2</v>
      </c>
      <c r="F105" s="24">
        <v>5.9341174360963124E-2</v>
      </c>
      <c r="G105" s="24">
        <f>+SUM(D21:G21)/$F$76</f>
        <v>6.0637281442775082E-2</v>
      </c>
      <c r="H105" s="24">
        <f>+SUM(E21:H21)/$F$76</f>
        <v>6.3549053731533606E-2</v>
      </c>
      <c r="I105" s="24">
        <f>+SUM(F21:I21)/$F$76</f>
        <v>6.7219473989672859E-2</v>
      </c>
      <c r="J105" s="24">
        <f>+SUM(G21:J21)/$F$76</f>
        <v>7.1091786252674913E-2</v>
      </c>
      <c r="K105" s="24">
        <v>7.5744170413039213E-2</v>
      </c>
      <c r="L105" s="24">
        <v>7.6879956586782927E-2</v>
      </c>
      <c r="M105" s="24">
        <v>8.2706926144328244E-2</v>
      </c>
      <c r="N105" s="24">
        <v>8.9210958465729642E-2</v>
      </c>
      <c r="O105" s="24">
        <v>7.2948825482831547E-2</v>
      </c>
      <c r="Q105" s="109">
        <f>+F105</f>
        <v>5.9341174360963124E-2</v>
      </c>
      <c r="R105" s="52">
        <f>+J105</f>
        <v>7.1091786252674913E-2</v>
      </c>
      <c r="S105" s="102">
        <f>+N105</f>
        <v>8.9210958465729642E-2</v>
      </c>
    </row>
    <row r="106" spans="1:19" ht="16" customHeight="1" x14ac:dyDescent="0.35">
      <c r="A106" s="15"/>
      <c r="K106" s="158"/>
      <c r="L106" s="158"/>
      <c r="M106" s="158"/>
      <c r="N106" s="158"/>
      <c r="O106" s="35"/>
      <c r="P106" s="158"/>
    </row>
    <row r="107" spans="1:19" ht="16" customHeight="1" x14ac:dyDescent="0.35">
      <c r="A107" s="15"/>
      <c r="J107" s="149"/>
    </row>
    <row r="108" spans="1:19" s="27" customFormat="1" ht="15.5" x14ac:dyDescent="0.35">
      <c r="A108" s="179" t="s">
        <v>65</v>
      </c>
      <c r="B108" s="179"/>
      <c r="J108" s="26"/>
      <c r="K108" s="26"/>
      <c r="O108" s="26"/>
      <c r="Q108" s="87"/>
      <c r="R108" s="134"/>
      <c r="S108" s="88"/>
    </row>
    <row r="109" spans="1:19" ht="14.5" x14ac:dyDescent="0.35">
      <c r="J109" s="2"/>
      <c r="K109" s="2"/>
    </row>
    <row r="110" spans="1:19" ht="14.5" x14ac:dyDescent="0.35">
      <c r="A110" s="31" t="s">
        <v>66</v>
      </c>
      <c r="B110" s="31"/>
      <c r="J110" s="54"/>
      <c r="K110" s="2"/>
    </row>
    <row r="111" spans="1:19" ht="14.5" x14ac:dyDescent="0.35">
      <c r="A111" t="s">
        <v>67</v>
      </c>
      <c r="C111" s="119">
        <v>219035</v>
      </c>
      <c r="D111" s="119">
        <v>219035</v>
      </c>
      <c r="E111" s="119">
        <v>219035</v>
      </c>
      <c r="F111" s="119">
        <v>213930</v>
      </c>
      <c r="G111" s="22">
        <v>207954.37830000001</v>
      </c>
      <c r="H111" s="22">
        <v>207953.57829999999</v>
      </c>
      <c r="I111" s="22">
        <v>208949.69080000001</v>
      </c>
      <c r="J111" s="22">
        <v>208949.69080000001</v>
      </c>
      <c r="K111" s="22">
        <v>294817.78080000001</v>
      </c>
      <c r="L111" s="22">
        <v>294817.56520000001</v>
      </c>
      <c r="M111" s="22">
        <v>294817.56520000001</v>
      </c>
      <c r="N111" s="22">
        <v>257249.43500000003</v>
      </c>
      <c r="O111" s="22">
        <v>257249.43500000003</v>
      </c>
      <c r="P111" s="22"/>
      <c r="Q111" s="73">
        <f>+F111</f>
        <v>213930</v>
      </c>
      <c r="R111" s="22">
        <v>208949.69080000001</v>
      </c>
      <c r="S111" s="74">
        <f>+N111</f>
        <v>257249.43500000003</v>
      </c>
    </row>
    <row r="112" spans="1:19" ht="14.5" x14ac:dyDescent="0.35">
      <c r="A112" t="s">
        <v>39</v>
      </c>
      <c r="C112" s="119">
        <v>46225</v>
      </c>
      <c r="D112" s="119">
        <v>46225</v>
      </c>
      <c r="E112" s="119">
        <v>46225</v>
      </c>
      <c r="F112" s="119">
        <v>44204</v>
      </c>
      <c r="G112" s="22">
        <v>44000.570000000007</v>
      </c>
      <c r="H112" s="22">
        <v>43997.450000000004</v>
      </c>
      <c r="I112" s="22">
        <v>40291.17035</v>
      </c>
      <c r="J112" s="22">
        <v>39856.770423528003</v>
      </c>
      <c r="K112" s="22">
        <v>39856.770423528003</v>
      </c>
      <c r="L112" s="22">
        <v>39855.342695543499</v>
      </c>
      <c r="M112" s="22">
        <v>39855.342695543499</v>
      </c>
      <c r="N112" s="22">
        <v>39798.978902725001</v>
      </c>
      <c r="O112" s="22">
        <v>38305.048900000002</v>
      </c>
      <c r="P112" s="22"/>
      <c r="Q112" s="73">
        <f>+F112</f>
        <v>44204</v>
      </c>
      <c r="R112" s="22">
        <v>39856.770423528003</v>
      </c>
      <c r="S112" s="74">
        <f>+N112</f>
        <v>39798.978902725001</v>
      </c>
    </row>
    <row r="113" spans="1:19" ht="14.5" x14ac:dyDescent="0.35">
      <c r="A113" t="s">
        <v>36</v>
      </c>
      <c r="C113" s="119">
        <v>21869</v>
      </c>
      <c r="D113" s="119">
        <v>21869</v>
      </c>
      <c r="E113" s="119">
        <v>21869</v>
      </c>
      <c r="F113" s="119">
        <v>21943</v>
      </c>
      <c r="G113" s="22">
        <v>21962.559999999998</v>
      </c>
      <c r="H113" s="22">
        <v>21962.559999999998</v>
      </c>
      <c r="I113" s="22">
        <v>15953.3752</v>
      </c>
      <c r="J113" s="22">
        <v>15999.345821952</v>
      </c>
      <c r="K113" s="22">
        <v>15048.577360006399</v>
      </c>
      <c r="L113" s="22">
        <v>15047.245694753397</v>
      </c>
      <c r="M113" s="22">
        <v>15047.245694753397</v>
      </c>
      <c r="N113" s="22">
        <v>15056.934094550001</v>
      </c>
      <c r="O113" s="22">
        <v>15249.209800000001</v>
      </c>
      <c r="P113" s="22"/>
      <c r="Q113" s="73">
        <f>+F113</f>
        <v>21943</v>
      </c>
      <c r="R113" s="22">
        <v>15999.345821952</v>
      </c>
      <c r="S113" s="74">
        <f>+N113</f>
        <v>15056.934094550001</v>
      </c>
    </row>
    <row r="114" spans="1:19" ht="14.5" x14ac:dyDescent="0.35">
      <c r="A114" t="s">
        <v>37</v>
      </c>
      <c r="C114" s="119">
        <v>6647</v>
      </c>
      <c r="D114" s="119">
        <v>6647</v>
      </c>
      <c r="E114" s="119">
        <v>6647</v>
      </c>
      <c r="F114" s="119">
        <v>6647</v>
      </c>
      <c r="G114" s="22">
        <v>12196.572295943281</v>
      </c>
      <c r="H114" s="22">
        <v>17438.975912848</v>
      </c>
      <c r="I114" s="22">
        <v>17438</v>
      </c>
      <c r="J114" s="22">
        <v>17438</v>
      </c>
      <c r="K114" s="22">
        <v>17438</v>
      </c>
      <c r="L114" s="22">
        <v>17438</v>
      </c>
      <c r="M114" s="22">
        <v>17438</v>
      </c>
      <c r="N114" s="22">
        <v>17438</v>
      </c>
      <c r="O114" s="22">
        <v>17438</v>
      </c>
      <c r="P114" s="22"/>
      <c r="Q114" s="73">
        <f>+F114</f>
        <v>6647</v>
      </c>
      <c r="R114" s="22">
        <v>17438</v>
      </c>
      <c r="S114" s="74">
        <f>+N114</f>
        <v>17438</v>
      </c>
    </row>
    <row r="115" spans="1:19" s="31" customFormat="1" ht="14.5" x14ac:dyDescent="0.35">
      <c r="A115" s="31" t="s">
        <v>68</v>
      </c>
      <c r="C115" s="32">
        <f t="shared" ref="C115:G115" si="37">+SUM(C111:C114)</f>
        <v>293776</v>
      </c>
      <c r="D115" s="32">
        <f t="shared" si="37"/>
        <v>293776</v>
      </c>
      <c r="E115" s="32">
        <f t="shared" si="37"/>
        <v>293776</v>
      </c>
      <c r="F115" s="32">
        <f t="shared" si="37"/>
        <v>286724</v>
      </c>
      <c r="G115" s="32">
        <f t="shared" si="37"/>
        <v>286114.08059594326</v>
      </c>
      <c r="H115" s="32">
        <v>291352.56421284802</v>
      </c>
      <c r="I115" s="32">
        <v>282632.23635000002</v>
      </c>
      <c r="J115" s="32">
        <v>282243.80704548</v>
      </c>
      <c r="K115" s="32">
        <f t="shared" ref="K115" si="38">+SUM(K111:K114)</f>
        <v>367161.12858353439</v>
      </c>
      <c r="L115" s="32">
        <v>367158.15359029692</v>
      </c>
      <c r="M115" s="32">
        <v>367158.15359029692</v>
      </c>
      <c r="N115" s="32">
        <f>+SUM(N111:N114)</f>
        <v>329543.34799727506</v>
      </c>
      <c r="O115" s="32">
        <f>+SUM(O111:O114)</f>
        <v>328241.69370000006</v>
      </c>
      <c r="P115" s="32"/>
      <c r="Q115" s="110">
        <f>+F115</f>
        <v>286724</v>
      </c>
      <c r="R115" s="136">
        <f t="shared" ref="R115" si="39">+SUM(R111:R114)</f>
        <v>282243.80704548</v>
      </c>
      <c r="S115" s="91">
        <f>+N115</f>
        <v>329543.34799727506</v>
      </c>
    </row>
    <row r="116" spans="1:19" ht="14.5" x14ac:dyDescent="0.35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2"/>
      <c r="O116" s="22"/>
      <c r="P116" s="2"/>
      <c r="Q116" s="83"/>
      <c r="R116" s="2"/>
      <c r="S116" s="84"/>
    </row>
    <row r="117" spans="1:19" ht="14.5" x14ac:dyDescent="0.35">
      <c r="A117" s="31" t="s">
        <v>69</v>
      </c>
      <c r="B117" s="3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P117" s="2"/>
      <c r="Q117" s="83"/>
      <c r="R117" s="2"/>
      <c r="S117" s="84"/>
    </row>
    <row r="118" spans="1:19" ht="14.5" x14ac:dyDescent="0.35">
      <c r="A118" t="s">
        <v>67</v>
      </c>
      <c r="C118" s="24">
        <v>2.621506596879589E-2</v>
      </c>
      <c r="D118" s="24">
        <v>5.9860647850312622E-2</v>
      </c>
      <c r="E118" s="24">
        <v>1.7476347744246237E-2</v>
      </c>
      <c r="F118" s="24">
        <v>2.6789891735088514E-2</v>
      </c>
      <c r="G118" s="24">
        <v>2.8880328267667704E-2</v>
      </c>
      <c r="H118" s="24">
        <v>4.8082166729945565E-3</v>
      </c>
      <c r="I118" s="24">
        <v>1.0562845644542398E-2</v>
      </c>
      <c r="J118" s="24">
        <v>1.0281181358711094E-2</v>
      </c>
      <c r="K118" s="24">
        <v>8.1266359649461474E-3</v>
      </c>
      <c r="L118" s="24">
        <v>8.2182495914812186E-3</v>
      </c>
      <c r="M118" s="24">
        <v>8.8638502325302463E-3</v>
      </c>
      <c r="N118" s="24">
        <v>2.1824593950552043E-2</v>
      </c>
      <c r="O118" s="24">
        <v>2.1582316269208968E-2</v>
      </c>
      <c r="P118" s="24"/>
      <c r="Q118" s="109">
        <f>+F118</f>
        <v>2.6789891735088514E-2</v>
      </c>
      <c r="R118" s="52">
        <v>1.0281181358711094E-2</v>
      </c>
      <c r="S118" s="104">
        <f>+N118</f>
        <v>2.1824593950552043E-2</v>
      </c>
    </row>
    <row r="119" spans="1:19" ht="14.5" x14ac:dyDescent="0.35">
      <c r="A119" t="s">
        <v>39</v>
      </c>
      <c r="C119" s="24">
        <v>3.7032358270797122E-2</v>
      </c>
      <c r="D119" s="24">
        <v>3.3055176470838027E-2</v>
      </c>
      <c r="E119" s="24">
        <v>4.1358082772844244E-2</v>
      </c>
      <c r="F119" s="24">
        <v>3.4289749761922617E-2</v>
      </c>
      <c r="G119" s="24">
        <v>3.4234480642258924E-2</v>
      </c>
      <c r="H119" s="24">
        <v>3.0683641922087283E-2</v>
      </c>
      <c r="I119" s="24">
        <v>2.6959064395339963E-2</v>
      </c>
      <c r="J119" s="24">
        <v>2.4386751888891889E-2</v>
      </c>
      <c r="K119" s="24">
        <v>1.9276214284516081E-2</v>
      </c>
      <c r="L119" s="24">
        <v>1.8202534623319444E-2</v>
      </c>
      <c r="M119" s="24">
        <v>1.743109823020398E-2</v>
      </c>
      <c r="N119" s="24">
        <v>1.5496363592590809E-2</v>
      </c>
      <c r="O119" s="24">
        <v>1.5419397622371076E-2</v>
      </c>
      <c r="P119" s="24"/>
      <c r="Q119" s="109">
        <f>+F119</f>
        <v>3.4289749761922617E-2</v>
      </c>
      <c r="R119" s="52">
        <v>2.4386751888891889E-2</v>
      </c>
      <c r="S119" s="104">
        <f>+N119</f>
        <v>1.5496363592590809E-2</v>
      </c>
    </row>
    <row r="120" spans="1:19" ht="14.5" x14ac:dyDescent="0.35">
      <c r="A120" t="s">
        <v>36</v>
      </c>
      <c r="C120" s="24">
        <v>1.0501690700110793E-2</v>
      </c>
      <c r="D120" s="24">
        <v>1.1390279184632115E-2</v>
      </c>
      <c r="E120" s="24">
        <v>7.9741229821620879E-3</v>
      </c>
      <c r="F120" s="24">
        <v>7.8539762283351654E-3</v>
      </c>
      <c r="G120" s="24">
        <v>3.8180947239184891E-3</v>
      </c>
      <c r="H120" s="24">
        <v>3.3838653399517705E-3</v>
      </c>
      <c r="I120" s="24">
        <v>5.0687568523625336E-3</v>
      </c>
      <c r="J120" s="24">
        <v>5.5103553893614079E-4</v>
      </c>
      <c r="K120" s="24">
        <v>2.8605709379461086E-3</v>
      </c>
      <c r="L120" s="24">
        <v>2.8920753674973438E-3</v>
      </c>
      <c r="M120" s="24">
        <v>3.3123086411681775E-3</v>
      </c>
      <c r="N120" s="24">
        <v>4.2022603510403272E-3</v>
      </c>
      <c r="O120" s="24">
        <v>4.0397169052922368E-4</v>
      </c>
      <c r="P120" s="24"/>
      <c r="Q120" s="109">
        <f>+F120</f>
        <v>7.8539762283351654E-3</v>
      </c>
      <c r="R120" s="52">
        <v>5.5103553893614079E-4</v>
      </c>
      <c r="S120" s="104">
        <f>+N120</f>
        <v>4.2022603510403272E-3</v>
      </c>
    </row>
    <row r="121" spans="1:19" ht="14.5" x14ac:dyDescent="0.35">
      <c r="A121" t="s">
        <v>37</v>
      </c>
      <c r="C121" s="24">
        <v>1.5488807071726316E-2</v>
      </c>
      <c r="D121" s="24">
        <v>1.6881942744363783E-2</v>
      </c>
      <c r="E121" s="24">
        <v>1.7678022534796785E-2</v>
      </c>
      <c r="F121" s="24">
        <v>1.1744690122966361E-2</v>
      </c>
      <c r="G121" s="24">
        <v>2.7437995834230542E-2</v>
      </c>
      <c r="H121" s="24">
        <v>3.1285136307519917E-2</v>
      </c>
      <c r="I121" s="24">
        <v>3.8800145109409843E-2</v>
      </c>
      <c r="J121" s="24">
        <v>4.1212229878109782E-2</v>
      </c>
      <c r="K121" s="24">
        <v>4.027599727295892E-2</v>
      </c>
      <c r="L121" s="24">
        <v>3.8453868714764979E-2</v>
      </c>
      <c r="M121" s="24">
        <v>4.2579023943443123E-2</v>
      </c>
      <c r="N121" s="24">
        <v>4.5832891909996842E-2</v>
      </c>
      <c r="O121" s="24">
        <v>5.3864562787674389E-2</v>
      </c>
      <c r="P121" s="24"/>
      <c r="Q121" s="109">
        <f>+F121</f>
        <v>1.1744690122966361E-2</v>
      </c>
      <c r="R121" s="52">
        <v>4.1212229878109782E-2</v>
      </c>
      <c r="S121" s="104">
        <f>+N121</f>
        <v>4.5832891909996842E-2</v>
      </c>
    </row>
    <row r="122" spans="1:19" s="55" customFormat="1" ht="14.5" x14ac:dyDescent="0.35">
      <c r="A122" s="55" t="s">
        <v>70</v>
      </c>
      <c r="C122" s="56">
        <f t="shared" ref="C122:O122" si="40">+SUM(C118:C121)</f>
        <v>8.9237922011430118E-2</v>
      </c>
      <c r="D122" s="56">
        <f t="shared" si="40"/>
        <v>0.12118804625014654</v>
      </c>
      <c r="E122" s="56">
        <f t="shared" si="40"/>
        <v>8.4486576034049354E-2</v>
      </c>
      <c r="F122" s="56">
        <f t="shared" si="40"/>
        <v>8.0678307848312661E-2</v>
      </c>
      <c r="G122" s="56">
        <f t="shared" si="40"/>
        <v>9.4370899468075656E-2</v>
      </c>
      <c r="H122" s="56">
        <f t="shared" si="40"/>
        <v>7.0160860242553524E-2</v>
      </c>
      <c r="I122" s="56">
        <f t="shared" si="40"/>
        <v>8.1390812001654739E-2</v>
      </c>
      <c r="J122" s="56">
        <f t="shared" si="40"/>
        <v>7.6431198664648911E-2</v>
      </c>
      <c r="K122" s="56">
        <f t="shared" si="40"/>
        <v>7.0539418460367265E-2</v>
      </c>
      <c r="L122" s="56">
        <f t="shared" si="40"/>
        <v>6.7766728297062984E-2</v>
      </c>
      <c r="M122" s="56">
        <f t="shared" si="40"/>
        <v>7.2186281047345521E-2</v>
      </c>
      <c r="N122" s="56">
        <f t="shared" si="40"/>
        <v>8.7356109804180015E-2</v>
      </c>
      <c r="O122" s="56">
        <f t="shared" si="40"/>
        <v>9.127024836978366E-2</v>
      </c>
      <c r="P122" s="56"/>
      <c r="Q122" s="111">
        <f>+F122</f>
        <v>8.0678307848312661E-2</v>
      </c>
      <c r="R122" s="141">
        <f t="shared" ref="R122" si="41">+SUM(R118:R121)</f>
        <v>7.6431198664648911E-2</v>
      </c>
      <c r="S122" s="107">
        <f>+N122</f>
        <v>8.7356109804180015E-2</v>
      </c>
    </row>
    <row r="123" spans="1:19" ht="14.5" x14ac:dyDescent="0.35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P123" s="2"/>
      <c r="Q123" s="83"/>
      <c r="R123" s="2"/>
      <c r="S123" s="84"/>
    </row>
    <row r="124" spans="1:19" ht="14.5" x14ac:dyDescent="0.35">
      <c r="A124" s="31" t="s">
        <v>71</v>
      </c>
      <c r="B124" s="3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P124" s="2"/>
      <c r="Q124" s="83"/>
      <c r="R124" s="2"/>
      <c r="S124" s="84"/>
    </row>
    <row r="125" spans="1:19" ht="14.5" x14ac:dyDescent="0.35">
      <c r="A125" t="s">
        <v>67</v>
      </c>
      <c r="C125" s="24">
        <v>3.4358936098607552E-2</v>
      </c>
      <c r="D125" s="24">
        <v>7.439802387391295E-2</v>
      </c>
      <c r="E125" s="24">
        <v>3.7194130123700687E-2</v>
      </c>
      <c r="F125" s="24">
        <v>5.4196530833257213E-2</v>
      </c>
      <c r="G125" s="24">
        <v>5.7748433651308648E-2</v>
      </c>
      <c r="H125" s="24">
        <v>2.8453499362180766E-3</v>
      </c>
      <c r="I125" s="24">
        <v>2.0407438565703446E-2</v>
      </c>
      <c r="J125" s="24">
        <v>2.0435523671456835E-2</v>
      </c>
      <c r="K125" s="24">
        <v>2.1080591101043069E-2</v>
      </c>
      <c r="L125" s="24">
        <v>1.5709306585183866E-2</v>
      </c>
      <c r="M125" s="24">
        <v>1.7478018497611245E-2</v>
      </c>
      <c r="N125" s="24">
        <v>3.8650666376386159E-2</v>
      </c>
      <c r="O125" s="24">
        <v>3.8803936990531078E-2</v>
      </c>
      <c r="P125" s="24"/>
      <c r="Q125" s="109">
        <f>+F125</f>
        <v>5.4196530833257213E-2</v>
      </c>
      <c r="R125" s="52">
        <f>+J125</f>
        <v>2.0435523671456835E-2</v>
      </c>
      <c r="S125" s="104">
        <f>+N125</f>
        <v>3.8650666376386159E-2</v>
      </c>
    </row>
    <row r="126" spans="1:19" ht="14.5" x14ac:dyDescent="0.35">
      <c r="A126" t="s">
        <v>39</v>
      </c>
      <c r="C126" s="24">
        <v>2.0843759316570815E-2</v>
      </c>
      <c r="D126" s="24">
        <v>1.8834845517497392E-2</v>
      </c>
      <c r="E126" s="24">
        <v>3.2893317066301997E-2</v>
      </c>
      <c r="F126" s="24">
        <v>2.4695162227472572E-2</v>
      </c>
      <c r="G126" s="24">
        <v>2.5003121080582821E-2</v>
      </c>
      <c r="H126" s="24">
        <v>2.3096707654455075E-2</v>
      </c>
      <c r="I126" s="24">
        <v>2.0849802648493961E-2</v>
      </c>
      <c r="J126" s="24">
        <v>1.9859564048130874E-2</v>
      </c>
      <c r="K126" s="24">
        <v>2.048645074500198E-2</v>
      </c>
      <c r="L126" s="24">
        <v>1.4335663480939242E-2</v>
      </c>
      <c r="M126" s="24">
        <v>1.4335663480939242E-2</v>
      </c>
      <c r="N126" s="24">
        <v>1.6149110818704814E-2</v>
      </c>
      <c r="O126" s="24">
        <v>1.721457741300645E-2</v>
      </c>
      <c r="P126" s="24"/>
      <c r="Q126" s="109">
        <f>+F126</f>
        <v>2.4695162227472572E-2</v>
      </c>
      <c r="R126" s="52">
        <f>+J126</f>
        <v>1.9859564048130874E-2</v>
      </c>
      <c r="S126" s="104">
        <f>+N126</f>
        <v>1.6149110818704814E-2</v>
      </c>
    </row>
    <row r="127" spans="1:19" ht="14.5" x14ac:dyDescent="0.35">
      <c r="A127" t="s">
        <v>36</v>
      </c>
      <c r="C127" s="24">
        <v>3.698012577298064E-3</v>
      </c>
      <c r="D127" s="24">
        <v>3.9676466131957772E-3</v>
      </c>
      <c r="E127" s="24">
        <v>3.3427108624772281E-3</v>
      </c>
      <c r="F127" s="24">
        <v>3.1878256123786253E-3</v>
      </c>
      <c r="G127" s="24">
        <v>2.4063128894809167E-3</v>
      </c>
      <c r="H127" s="24">
        <v>2.2568876363814189E-3</v>
      </c>
      <c r="I127" s="24">
        <v>2.6139987056717075E-3</v>
      </c>
      <c r="J127" s="24">
        <v>6.7830556143664384E-5</v>
      </c>
      <c r="K127" s="24">
        <v>5.0384327826280225E-4</v>
      </c>
      <c r="L127" s="24">
        <v>3.7535121285031453E-4</v>
      </c>
      <c r="M127" s="24">
        <v>5.1175771405220858E-4</v>
      </c>
      <c r="N127" s="24">
        <v>2.825998593689412E-3</v>
      </c>
      <c r="O127" s="24">
        <v>5.084827001823382E-4</v>
      </c>
      <c r="P127" s="24"/>
      <c r="Q127" s="109">
        <f>+F127</f>
        <v>3.1878256123786253E-3</v>
      </c>
      <c r="R127" s="52">
        <f>+J127</f>
        <v>6.7830556143664384E-5</v>
      </c>
      <c r="S127" s="104">
        <f>+N127</f>
        <v>2.825998593689412E-3</v>
      </c>
    </row>
    <row r="128" spans="1:19" ht="14.5" x14ac:dyDescent="0.35">
      <c r="A128" t="s">
        <v>37</v>
      </c>
      <c r="C128" s="24">
        <v>2.5694599824049091E-2</v>
      </c>
      <c r="D128" s="24">
        <v>9.6592591710011576E-3</v>
      </c>
      <c r="E128" s="24">
        <v>9.2143774454515239E-3</v>
      </c>
      <c r="F128" s="24">
        <v>6.1186780897846873E-3</v>
      </c>
      <c r="G128" s="24">
        <v>1.2107901013369291E-2</v>
      </c>
      <c r="H128" s="24">
        <v>1.6571533983879679E-2</v>
      </c>
      <c r="I128" s="24">
        <v>1.7312223698151413E-2</v>
      </c>
      <c r="J128" s="24">
        <v>1.9928125470238121E-2</v>
      </c>
      <c r="K128" s="24">
        <v>2.0557176375917308E-2</v>
      </c>
      <c r="L128" s="24">
        <v>1.5319256688158284E-2</v>
      </c>
      <c r="M128" s="24">
        <v>1.5319256688158284E-2</v>
      </c>
      <c r="N128" s="24">
        <v>1.7067830481732285E-2</v>
      </c>
      <c r="O128" s="24">
        <v>1.7135513580248146E-2</v>
      </c>
      <c r="P128" s="24"/>
      <c r="Q128" s="109">
        <f>+F128</f>
        <v>6.1186780897846873E-3</v>
      </c>
      <c r="R128" s="52">
        <f>+J128</f>
        <v>1.9928125470238121E-2</v>
      </c>
      <c r="S128" s="104">
        <f>+N128</f>
        <v>1.7067830481732285E-2</v>
      </c>
    </row>
    <row r="129" spans="1:19" s="55" customFormat="1" ht="14.5" x14ac:dyDescent="0.35">
      <c r="A129" s="55" t="s">
        <v>72</v>
      </c>
      <c r="C129" s="56">
        <f t="shared" ref="C129:O129" si="42">+SUM(C125:C128)</f>
        <v>8.4595307816525522E-2</v>
      </c>
      <c r="D129" s="56">
        <f t="shared" si="42"/>
        <v>0.10685977517560728</v>
      </c>
      <c r="E129" s="56">
        <f t="shared" si="42"/>
        <v>8.2644535497931423E-2</v>
      </c>
      <c r="F129" s="56">
        <f t="shared" si="42"/>
        <v>8.8198196762893089E-2</v>
      </c>
      <c r="G129" s="56">
        <f t="shared" si="42"/>
        <v>9.7265768634741678E-2</v>
      </c>
      <c r="H129" s="56">
        <f t="shared" si="42"/>
        <v>4.4770479210934244E-2</v>
      </c>
      <c r="I129" s="56">
        <f t="shared" si="42"/>
        <v>6.1183463618020531E-2</v>
      </c>
      <c r="J129" s="56">
        <f t="shared" si="42"/>
        <v>6.0291043745969497E-2</v>
      </c>
      <c r="K129" s="56">
        <f t="shared" si="42"/>
        <v>6.2628061500225166E-2</v>
      </c>
      <c r="L129" s="56">
        <f t="shared" si="42"/>
        <v>4.5739577967131705E-2</v>
      </c>
      <c r="M129" s="56">
        <f t="shared" si="42"/>
        <v>4.7644696380760979E-2</v>
      </c>
      <c r="N129" s="56">
        <f t="shared" si="42"/>
        <v>7.4693606270512664E-2</v>
      </c>
      <c r="O129" s="56">
        <f t="shared" si="42"/>
        <v>7.3662510683968008E-2</v>
      </c>
      <c r="P129" s="56"/>
      <c r="Q129" s="111">
        <f>+F129</f>
        <v>8.8198196762893089E-2</v>
      </c>
      <c r="R129" s="141">
        <f t="shared" ref="R129" si="43">+SUM(R125:R128)</f>
        <v>6.0291043745969497E-2</v>
      </c>
      <c r="S129" s="107">
        <f>+N129</f>
        <v>7.4693606270512664E-2</v>
      </c>
    </row>
    <row r="130" spans="1:19" ht="14.5" x14ac:dyDescent="0.35">
      <c r="C130" s="2"/>
      <c r="D130" s="2"/>
      <c r="E130" s="2"/>
      <c r="F130" s="2"/>
    </row>
    <row r="131" spans="1:19" ht="14.5" x14ac:dyDescent="0.35">
      <c r="C131" s="2"/>
      <c r="D131" s="2"/>
      <c r="E131" s="2"/>
      <c r="F131" s="2"/>
    </row>
    <row r="132" spans="1:19" ht="14.5" customHeight="1" x14ac:dyDescent="0.35"/>
    <row r="168" ht="14.5" hidden="1" x14ac:dyDescent="0.35"/>
  </sheetData>
  <mergeCells count="5">
    <mergeCell ref="A8:B8"/>
    <mergeCell ref="A40:B40"/>
    <mergeCell ref="A64:B64"/>
    <mergeCell ref="A91:B91"/>
    <mergeCell ref="A108:B108"/>
  </mergeCells>
  <pageMargins left="0.7" right="0.7" top="0.75" bottom="0.75" header="0.3" footer="0.3"/>
  <pageSetup orientation="portrait" r:id="rId1"/>
  <headerFooter>
    <oddFooter>&amp;L&amp;"Calibri"&amp;11&amp;K000000_x000D_&amp;1#&amp;"Calibri"&amp;10&amp;K000000Internal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Glosario</vt:lpstr>
      <vt:lpstr>Cifras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Angelica</dc:creator>
  <cp:lastModifiedBy>Rivera, Angelica</cp:lastModifiedBy>
  <dcterms:created xsi:type="dcterms:W3CDTF">2024-06-24T21:31:04Z</dcterms:created>
  <dcterms:modified xsi:type="dcterms:W3CDTF">2025-05-30T17:15:53Z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dfde47-f100-441b-b584-049a7fefba8a_Enabled">
    <vt:lpwstr>true</vt:lpwstr>
  </property>
  <property fmtid="{D5CDD505-2E9C-101B-9397-08002B2CF9AE}" pid="3" name="MSIP_Label_38dfde47-f100-441b-b584-049a7fefba8a_SetDate">
    <vt:lpwstr>2025-03-21T03:45:34Z</vt:lpwstr>
  </property>
  <property fmtid="{D5CDD505-2E9C-101B-9397-08002B2CF9AE}" pid="4" name="MSIP_Label_38dfde47-f100-441b-b584-049a7fefba8a_Method">
    <vt:lpwstr>Standard</vt:lpwstr>
  </property>
  <property fmtid="{D5CDD505-2E9C-101B-9397-08002B2CF9AE}" pid="5" name="MSIP_Label_38dfde47-f100-441b-b584-049a7fefba8a_Name">
    <vt:lpwstr>38dfde47-f100-441b-b584-049a7fefba8a</vt:lpwstr>
  </property>
  <property fmtid="{D5CDD505-2E9C-101B-9397-08002B2CF9AE}" pid="6" name="MSIP_Label_38dfde47-f100-441b-b584-049a7fefba8a_SiteId">
    <vt:lpwstr>16e7cf3f-6af4-4e76-941e-aecafb9704e9</vt:lpwstr>
  </property>
  <property fmtid="{D5CDD505-2E9C-101B-9397-08002B2CF9AE}" pid="7" name="MSIP_Label_38dfde47-f100-441b-b584-049a7fefba8a_ActionId">
    <vt:lpwstr>c95e13ad-33d9-44f1-9baa-507c717c7253</vt:lpwstr>
  </property>
  <property fmtid="{D5CDD505-2E9C-101B-9397-08002B2CF9AE}" pid="8" name="MSIP_Label_38dfde47-f100-441b-b584-049a7fefba8a_ContentBits">
    <vt:lpwstr>2</vt:lpwstr>
  </property>
</Properties>
</file>